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C:\Users\xhoana.agolli\Desktop\BUXHETI 2022\AKTI NORMATIV new - DHJETOR 2022\PAKETA PER KM\"/>
    </mc:Choice>
  </mc:AlternateContent>
  <xr:revisionPtr revIDLastSave="0" documentId="13_ncr:1_{9714D0E9-847E-49F5-81BE-2894F763D4D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Plotesuar" sheetId="1" r:id="rId1"/>
  </sheets>
  <definedNames>
    <definedName name="OLE_LINK3" localSheetId="0">Plotesuar!$AB$55</definedName>
    <definedName name="_xlnm.Print_Area" localSheetId="0">Plotesuar!$A$1:$Y$70</definedName>
    <definedName name="_xlnm.Print_Titles" localSheetId="0">Plotesuar!$5:$7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9" i="1" l="1"/>
  <c r="Y12" i="1"/>
  <c r="Y13" i="1"/>
  <c r="Y15" i="1"/>
  <c r="Y16" i="1"/>
  <c r="Y17" i="1"/>
  <c r="Y19" i="1"/>
  <c r="Y22" i="1"/>
  <c r="Y24" i="1"/>
  <c r="Y27" i="1"/>
  <c r="Y28" i="1"/>
  <c r="Y31" i="1"/>
  <c r="Y32" i="1"/>
  <c r="Y34" i="1"/>
  <c r="Y38" i="1"/>
  <c r="Y39" i="1"/>
  <c r="Y40" i="1"/>
  <c r="Y42" i="1"/>
  <c r="Y43" i="1"/>
  <c r="Y48" i="1"/>
  <c r="Y55" i="1"/>
  <c r="Y56" i="1"/>
  <c r="Y57" i="1"/>
  <c r="Y62" i="1"/>
  <c r="Y63" i="1"/>
  <c r="Y65" i="1"/>
  <c r="Y66" i="1"/>
  <c r="Y68" i="1"/>
  <c r="Y8" i="1"/>
  <c r="F69" i="1"/>
  <c r="W69" i="1" l="1"/>
  <c r="X69" i="1" l="1"/>
  <c r="N69" i="1" l="1"/>
  <c r="J69" i="1"/>
  <c r="G69" i="1"/>
  <c r="U69" i="1" l="1"/>
  <c r="Q69" i="1"/>
  <c r="E69" i="1"/>
  <c r="V69" i="1"/>
  <c r="M33" i="1"/>
  <c r="Y33" i="1" s="1"/>
  <c r="S46" i="1"/>
  <c r="P64" i="1"/>
  <c r="S64" i="1"/>
  <c r="S61" i="1"/>
  <c r="S58" i="1"/>
  <c r="S54" i="1"/>
  <c r="S52" i="1"/>
  <c r="S51" i="1"/>
  <c r="S44" i="1"/>
  <c r="S41" i="1"/>
  <c r="S30" i="1"/>
  <c r="S11" i="1"/>
  <c r="P61" i="1"/>
  <c r="P53" i="1"/>
  <c r="P52" i="1"/>
  <c r="P51" i="1"/>
  <c r="P50" i="1"/>
  <c r="P46" i="1"/>
  <c r="P44" i="1"/>
  <c r="P41" i="1"/>
  <c r="P35" i="1"/>
  <c r="P30" i="1"/>
  <c r="P29" i="1"/>
  <c r="Y29" i="1" s="1"/>
  <c r="P23" i="1"/>
  <c r="P21" i="1"/>
  <c r="P11" i="1"/>
  <c r="P10" i="1"/>
  <c r="M67" i="1"/>
  <c r="Y67" i="1" s="1"/>
  <c r="M64" i="1"/>
  <c r="M61" i="1"/>
  <c r="M60" i="1"/>
  <c r="Y60" i="1" s="1"/>
  <c r="M59" i="1"/>
  <c r="Y59" i="1" s="1"/>
  <c r="M58" i="1"/>
  <c r="M54" i="1"/>
  <c r="Y54" i="1" s="1"/>
  <c r="M53" i="1"/>
  <c r="M52" i="1"/>
  <c r="M51" i="1"/>
  <c r="M50" i="1"/>
  <c r="Y50" i="1" s="1"/>
  <c r="M49" i="1"/>
  <c r="Y49" i="1" s="1"/>
  <c r="M47" i="1"/>
  <c r="Y47" i="1" s="1"/>
  <c r="M46" i="1"/>
  <c r="M45" i="1"/>
  <c r="Y45" i="1" s="1"/>
  <c r="M44" i="1"/>
  <c r="M41" i="1"/>
  <c r="M37" i="1"/>
  <c r="M36" i="1"/>
  <c r="M35" i="1"/>
  <c r="Y35" i="1" s="1"/>
  <c r="M30" i="1"/>
  <c r="M25" i="1"/>
  <c r="Y25" i="1" s="1"/>
  <c r="M23" i="1"/>
  <c r="Y23" i="1" s="1"/>
  <c r="M21" i="1"/>
  <c r="Y21" i="1" s="1"/>
  <c r="M20" i="1"/>
  <c r="Y20" i="1" s="1"/>
  <c r="M18" i="1"/>
  <c r="Y18" i="1" s="1"/>
  <c r="M14" i="1"/>
  <c r="Y14" i="1" s="1"/>
  <c r="M11" i="1"/>
  <c r="M10" i="1"/>
  <c r="L61" i="1"/>
  <c r="L58" i="1"/>
  <c r="Y58" i="1" s="1"/>
  <c r="L53" i="1"/>
  <c r="Y53" i="1" s="1"/>
  <c r="L52" i="1"/>
  <c r="L51" i="1"/>
  <c r="Y51" i="1" s="1"/>
  <c r="L44" i="1"/>
  <c r="L37" i="1"/>
  <c r="Y37" i="1" s="1"/>
  <c r="L11" i="1"/>
  <c r="K46" i="1"/>
  <c r="K36" i="1"/>
  <c r="Y36" i="1" s="1"/>
  <c r="K26" i="1"/>
  <c r="Y26" i="1" s="1"/>
  <c r="T69" i="1"/>
  <c r="R69" i="1"/>
  <c r="I69" i="1"/>
  <c r="H69" i="1"/>
  <c r="D69" i="1"/>
  <c r="O69" i="1"/>
  <c r="Y46" i="1" l="1"/>
  <c r="Y61" i="1"/>
  <c r="Y64" i="1"/>
  <c r="Y44" i="1"/>
  <c r="Y11" i="1"/>
  <c r="Y52" i="1"/>
  <c r="Y10" i="1"/>
  <c r="Y30" i="1"/>
  <c r="Y41" i="1"/>
  <c r="L69" i="1"/>
  <c r="P69" i="1"/>
  <c r="S69" i="1"/>
  <c r="K69" i="1"/>
  <c r="M69" i="1"/>
  <c r="Y69" i="1" l="1"/>
</calcChain>
</file>

<file path=xl/sharedStrings.xml><?xml version="1.0" encoding="utf-8"?>
<sst xmlns="http://schemas.openxmlformats.org/spreadsheetml/2006/main" count="93" uniqueCount="92">
  <si>
    <t xml:space="preserve">Bashkitë </t>
  </si>
  <si>
    <t>Transfertat e pakushtëzuara sektoriale</t>
  </si>
  <si>
    <t>Totali</t>
  </si>
  <si>
    <t>Konviktet e arsimit parauniversitar</t>
  </si>
  <si>
    <t>Arsimi parashkollor</t>
  </si>
  <si>
    <t>Arsimi parauniversitar</t>
  </si>
  <si>
    <t>Mbrojtja nga zjarri</t>
  </si>
  <si>
    <t>Mbrojtja sociale</t>
  </si>
  <si>
    <t xml:space="preserve">Administrimi i pyjeve </t>
  </si>
  <si>
    <t>Rrugët</t>
  </si>
  <si>
    <t>Ujitja dhe Kullimi</t>
  </si>
  <si>
    <t xml:space="preserve"> Klubet shumësportëshe "Partizani dhe "Studenti"</t>
  </si>
  <si>
    <t>Ndarë me formulë për personelin mësimor</t>
  </si>
  <si>
    <t>Për stafin mbështetës</t>
  </si>
  <si>
    <t>Belsh</t>
  </si>
  <si>
    <t>Berat</t>
  </si>
  <si>
    <t>Bulqizë</t>
  </si>
  <si>
    <t>Cërrik</t>
  </si>
  <si>
    <t>Delvinë</t>
  </si>
  <si>
    <t>Devoll</t>
  </si>
  <si>
    <t>Dibër</t>
  </si>
  <si>
    <t>Divjakë</t>
  </si>
  <si>
    <t>Dropull</t>
  </si>
  <si>
    <t>Durrës</t>
  </si>
  <si>
    <t>Elbasan</t>
  </si>
  <si>
    <t>Fier</t>
  </si>
  <si>
    <t>Finiq</t>
  </si>
  <si>
    <t>Fushë Arrëz</t>
  </si>
  <si>
    <t>Gjirokastër</t>
  </si>
  <si>
    <t>Gramsh</t>
  </si>
  <si>
    <t>Has</t>
  </si>
  <si>
    <t>Himarë</t>
  </si>
  <si>
    <t>Kamëz</t>
  </si>
  <si>
    <t>Kavajë</t>
  </si>
  <si>
    <t>Këlcyrë</t>
  </si>
  <si>
    <t>Klos</t>
  </si>
  <si>
    <t>Kolonjë</t>
  </si>
  <si>
    <t>Konispol</t>
  </si>
  <si>
    <t>Korçë</t>
  </si>
  <si>
    <t>Krujë</t>
  </si>
  <si>
    <t>Kuçovë</t>
  </si>
  <si>
    <t>Kukës</t>
  </si>
  <si>
    <t>Kurbin</t>
  </si>
  <si>
    <t>Lezhë</t>
  </si>
  <si>
    <t>Libohovë</t>
  </si>
  <si>
    <t>Librazhd</t>
  </si>
  <si>
    <t>Lushnje</t>
  </si>
  <si>
    <t>Malësi e Madhe</t>
  </si>
  <si>
    <t>Maliq</t>
  </si>
  <si>
    <t>Mallakastër</t>
  </si>
  <si>
    <t>Mat</t>
  </si>
  <si>
    <t>Memaliaj</t>
  </si>
  <si>
    <t>Mirditë</t>
  </si>
  <si>
    <t>Patos</t>
  </si>
  <si>
    <t>Peqin</t>
  </si>
  <si>
    <t>Përmet</t>
  </si>
  <si>
    <t>Pogradec</t>
  </si>
  <si>
    <t>Poliçan</t>
  </si>
  <si>
    <t>Përrenjas</t>
  </si>
  <si>
    <t>Pukë</t>
  </si>
  <si>
    <t>Pustec</t>
  </si>
  <si>
    <t>Roskovec</t>
  </si>
  <si>
    <t>Rrogozhinë</t>
  </si>
  <si>
    <t>Sarandë</t>
  </si>
  <si>
    <t>Selenicë</t>
  </si>
  <si>
    <t>Shijak</t>
  </si>
  <si>
    <t>Shkodër</t>
  </si>
  <si>
    <t>Skrapar</t>
  </si>
  <si>
    <t>Tepelenë</t>
  </si>
  <si>
    <t>Tiranë</t>
  </si>
  <si>
    <t>Tropojë</t>
  </si>
  <si>
    <t>Vau i Dejës</t>
  </si>
  <si>
    <t>Vlorë</t>
  </si>
  <si>
    <t>Vorë</t>
  </si>
  <si>
    <t>Tab.3</t>
  </si>
  <si>
    <t>Në mijë lekë</t>
  </si>
  <si>
    <t>Nr.</t>
  </si>
  <si>
    <t>Dimal</t>
  </si>
  <si>
    <t>Transferta e pakushtëzuar e përgjithshme  2022</t>
  </si>
  <si>
    <t xml:space="preserve">Shtesë nga Kuvendi  "Për menaxhimin e mbetjeve urbane" </t>
  </si>
  <si>
    <t>Transferta e pakushtëzuar për bashkitë për vitin 2022</t>
  </si>
  <si>
    <t>Shtesë nga Kuvendi, "Transfertë e pakushtëzuar për vitin 2022"</t>
  </si>
  <si>
    <t xml:space="preserve">Shtesë nga Kuvendi  "Transfertë e pakushtëzuar sektoriale për investime në rrugë" </t>
  </si>
  <si>
    <t>Shtesë nga Kuvendi për Administrimin e Pyjeve</t>
  </si>
  <si>
    <t>Shtesë me AN "Transfertë e pakushtëzuar"</t>
  </si>
  <si>
    <t>Shtese me AN për Arsmin parashkollor</t>
  </si>
  <si>
    <t>Shtese me AN për Mbrojtjen nga zjarri</t>
  </si>
  <si>
    <t>Transferte specifike</t>
  </si>
  <si>
    <t>Shtese me AN për shlyerjen e detyrimeve të prapambetura</t>
  </si>
  <si>
    <t>Shtese me AN për investime ne  sport</t>
  </si>
  <si>
    <t>Shperndare me AN  nga Fondi Rezervë i Transfertës së Pakushtëzuar</t>
  </si>
  <si>
    <t>Shënim: Bashkia Tiranë  nuk përfshihet në shpërndarjen e transfertës specifike për shlyerjen e detyrimeve të prapambetura për arsye se ka kapacitet të lartë në mbledhjen e të ardhurave nga taksat dhe tarifat vendore.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</si>
</sst>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82">
    <xf numFmtId="0" fontId="0" fillId="0" borderId="0" xfId="0"/>
    <xf numFmtId="3" fontId="4" fillId="4" borderId="3" xfId="1" applyNumberFormat="1" applyFont="1" applyFill="1" applyBorder="1"/>
    <xf numFmtId="3" fontId="3" fillId="4" borderId="10" xfId="1" applyNumberFormat="1" applyFont="1" applyFill="1" applyBorder="1" applyAlignment="1">
      <alignment horizontal="right" vertical="center"/>
    </xf>
    <xf numFmtId="9" fontId="4" fillId="2" borderId="3" xfId="3" applyFont="1" applyFill="1" applyBorder="1"/>
    <xf numFmtId="3" fontId="3" fillId="4" borderId="0" xfId="1" applyNumberFormat="1" applyFont="1" applyFill="1" applyBorder="1" applyAlignment="1">
      <alignment horizontal="right" vertical="center"/>
    </xf>
    <xf numFmtId="3" fontId="4" fillId="3" borderId="2" xfId="1" applyNumberFormat="1" applyFont="1" applyFill="1" applyBorder="1" applyAlignment="1">
      <alignment horizontal="right" indent="1"/>
    </xf>
    <xf numFmtId="3" fontId="4" fillId="3" borderId="3" xfId="1" applyNumberFormat="1" applyFont="1" applyFill="1" applyBorder="1" applyAlignment="1">
      <alignment horizontal="right" indent="1"/>
    </xf>
    <xf numFmtId="3" fontId="4" fillId="4" borderId="3" xfId="1" applyNumberFormat="1" applyFont="1" applyFill="1" applyBorder="1" applyAlignment="1">
      <alignment horizontal="right" indent="1"/>
    </xf>
    <xf numFmtId="3" fontId="4" fillId="4" borderId="18" xfId="1" applyNumberFormat="1" applyFont="1" applyFill="1" applyBorder="1"/>
    <xf numFmtId="0" fontId="8" fillId="0" borderId="0" xfId="0" applyFont="1"/>
    <xf numFmtId="0" fontId="9" fillId="0" borderId="0" xfId="1" applyFont="1" applyFill="1" applyBorder="1"/>
    <xf numFmtId="0" fontId="9" fillId="3" borderId="0" xfId="1" applyFont="1" applyFill="1" applyBorder="1"/>
    <xf numFmtId="3" fontId="9" fillId="0" borderId="0" xfId="1" applyNumberFormat="1" applyFont="1" applyFill="1" applyBorder="1"/>
    <xf numFmtId="3" fontId="9" fillId="3" borderId="0" xfId="1" applyNumberFormat="1" applyFont="1" applyFill="1" applyBorder="1"/>
    <xf numFmtId="0" fontId="10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3" fontId="8" fillId="0" borderId="0" xfId="0" applyNumberFormat="1" applyFont="1"/>
    <xf numFmtId="9" fontId="8" fillId="0" borderId="0" xfId="3" applyFont="1"/>
    <xf numFmtId="0" fontId="4" fillId="0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9" fontId="8" fillId="0" borderId="0" xfId="3" applyFont="1" applyBorder="1"/>
    <xf numFmtId="3" fontId="13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/>
    <xf numFmtId="0" fontId="4" fillId="0" borderId="8" xfId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horizontal="right" vertical="center"/>
    </xf>
    <xf numFmtId="0" fontId="8" fillId="0" borderId="0" xfId="0" applyFont="1" applyBorder="1"/>
    <xf numFmtId="3" fontId="14" fillId="0" borderId="0" xfId="0" applyNumberFormat="1" applyFont="1" applyBorder="1"/>
    <xf numFmtId="1" fontId="8" fillId="0" borderId="0" xfId="0" applyNumberFormat="1" applyFont="1" applyBorder="1"/>
    <xf numFmtId="0" fontId="3" fillId="4" borderId="11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/>
    <xf numFmtId="3" fontId="4" fillId="4" borderId="2" xfId="1" applyNumberFormat="1" applyFont="1" applyFill="1" applyBorder="1"/>
    <xf numFmtId="3" fontId="3" fillId="3" borderId="12" xfId="1" applyNumberFormat="1" applyFont="1" applyFill="1" applyBorder="1" applyAlignment="1"/>
    <xf numFmtId="0" fontId="4" fillId="4" borderId="7" xfId="1" applyFont="1" applyFill="1" applyBorder="1" applyAlignment="1"/>
    <xf numFmtId="0" fontId="8" fillId="3" borderId="0" xfId="0" applyFont="1" applyFill="1"/>
    <xf numFmtId="3" fontId="5" fillId="4" borderId="3" xfId="0" applyNumberFormat="1" applyFont="1" applyFill="1" applyBorder="1" applyAlignment="1">
      <alignment horizontal="right"/>
    </xf>
    <xf numFmtId="0" fontId="4" fillId="3" borderId="7" xfId="1" applyFont="1" applyFill="1" applyBorder="1" applyAlignment="1"/>
    <xf numFmtId="3" fontId="4" fillId="4" borderId="3" xfId="0" applyNumberFormat="1" applyFont="1" applyFill="1" applyBorder="1"/>
    <xf numFmtId="0" fontId="3" fillId="4" borderId="32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3" fillId="4" borderId="9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right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 wrapText="1"/>
    </xf>
    <xf numFmtId="0" fontId="3" fillId="4" borderId="16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3" fillId="4" borderId="20" xfId="1" applyFont="1" applyFill="1" applyBorder="1" applyAlignment="1">
      <alignment horizontal="center" vertical="center" wrapText="1"/>
    </xf>
    <xf numFmtId="0" fontId="3" fillId="3" borderId="28" xfId="1" applyFont="1" applyFill="1" applyBorder="1" applyAlignment="1">
      <alignment horizontal="center" vertical="center" wrapText="1"/>
    </xf>
    <xf numFmtId="0" fontId="3" fillId="3" borderId="29" xfId="1" applyFont="1" applyFill="1" applyBorder="1" applyAlignment="1">
      <alignment horizontal="center" vertical="center" wrapText="1"/>
    </xf>
    <xf numFmtId="0" fontId="3" fillId="3" borderId="30" xfId="1" applyFont="1" applyFill="1" applyBorder="1" applyAlignment="1">
      <alignment horizontal="center" vertical="center" wrapText="1"/>
    </xf>
    <xf numFmtId="0" fontId="3" fillId="4" borderId="24" xfId="1" applyFont="1" applyFill="1" applyBorder="1" applyAlignment="1">
      <alignment horizontal="center"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4" borderId="26" xfId="1" applyFont="1" applyFill="1" applyBorder="1" applyAlignment="1">
      <alignment horizontal="center" vertical="center" wrapText="1"/>
    </xf>
    <xf numFmtId="0" fontId="3" fillId="4" borderId="23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0" fontId="3" fillId="4" borderId="27" xfId="1" applyFont="1" applyFill="1" applyBorder="1" applyAlignment="1">
      <alignment horizontal="center" vertical="center" wrapText="1"/>
    </xf>
    <xf numFmtId="0" fontId="3" fillId="4" borderId="31" xfId="1" applyFont="1" applyFill="1" applyBorder="1" applyAlignment="1">
      <alignment horizontal="center" vertical="center" wrapText="1"/>
    </xf>
    <xf numFmtId="0" fontId="3" fillId="4" borderId="28" xfId="1" applyFont="1" applyFill="1" applyBorder="1" applyAlignment="1">
      <alignment horizontal="center" vertical="center" wrapText="1"/>
    </xf>
    <xf numFmtId="0" fontId="3" fillId="4" borderId="30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15" fillId="5" borderId="0" xfId="0" applyFont="1" applyFill="1" applyBorder="1"/>
    <xf numFmtId="0" fontId="16" fillId="5" borderId="0" xfId="1" applyFont="1" applyFill="1" applyBorder="1"/>
  </cellXfs>
  <cellStyles count="4">
    <cellStyle name="Normal" xfId="0" builtinId="0"/>
    <cellStyle name="Normal_Tabela Bashkite" xfId="1" xr:uid="{00000000-0005-0000-0000-000001000000}"/>
    <cellStyle name="Normal_Tabela Bashkite_Tabela Bashkite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D252"/>
  <sheetViews>
    <sheetView tabSelected="1" zoomScale="80" zoomScaleNormal="80" zoomScaleSheetLayoutView="74" workbookViewId="0">
      <selection activeCell="F5" sqref="F5:F7"/>
    </sheetView>
  </sheetViews>
  <sheetFormatPr defaultColWidth="9.109375" defaultRowHeight="14.4" x14ac:dyDescent="0.3"/>
  <cols>
    <col min="1" max="1" width="1.44140625" style="9" customWidth="1"/>
    <col min="2" max="2" width="3.44140625" style="9" customWidth="1"/>
    <col min="3" max="3" width="14.5546875" style="9" customWidth="1"/>
    <col min="4" max="6" width="13.44140625" style="9" customWidth="1"/>
    <col min="7" max="7" width="14.5546875" style="9" customWidth="1"/>
    <col min="8" max="8" width="9.44140625" style="9" customWidth="1"/>
    <col min="9" max="9" width="11.44140625" style="9" customWidth="1"/>
    <col min="10" max="10" width="12.109375" style="9" customWidth="1"/>
    <col min="11" max="11" width="11.109375" style="9" customWidth="1"/>
    <col min="12" max="12" width="11.44140625" style="9" customWidth="1"/>
    <col min="13" max="14" width="9.44140625" style="9" customWidth="1"/>
    <col min="15" max="15" width="11.5546875" style="9" customWidth="1"/>
    <col min="16" max="17" width="12.88671875" style="9" customWidth="1"/>
    <col min="18" max="18" width="8.109375" style="9" customWidth="1"/>
    <col min="19" max="19" width="9.109375" style="9" customWidth="1"/>
    <col min="20" max="20" width="11" style="9" customWidth="1"/>
    <col min="21" max="21" width="15" style="9" customWidth="1"/>
    <col min="22" max="24" width="14.109375" style="9" customWidth="1"/>
    <col min="25" max="25" width="12.88671875" style="9" customWidth="1"/>
    <col min="26" max="26" width="12.5546875" style="9" customWidth="1"/>
    <col min="27" max="27" width="15.109375" style="9" customWidth="1"/>
    <col min="28" max="28" width="19.5546875" style="9" customWidth="1"/>
    <col min="29" max="29" width="14.109375" style="9" customWidth="1"/>
    <col min="30" max="16384" width="9.109375" style="9"/>
  </cols>
  <sheetData>
    <row r="2" spans="1:30" ht="15.6" x14ac:dyDescent="0.3">
      <c r="A2" s="39" t="s">
        <v>80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30" ht="18" x14ac:dyDescent="0.35">
      <c r="A3" s="10"/>
      <c r="B3" s="80" t="s">
        <v>74</v>
      </c>
      <c r="C3" s="81"/>
      <c r="D3" s="11"/>
      <c r="E3" s="11"/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10"/>
      <c r="R3" s="12"/>
      <c r="S3" s="13"/>
      <c r="T3" s="13"/>
      <c r="U3" s="13"/>
      <c r="V3" s="13"/>
      <c r="W3" s="13"/>
      <c r="X3" s="13"/>
    </row>
    <row r="4" spans="1:30" ht="15.75" customHeight="1" thickBot="1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45" t="s">
        <v>75</v>
      </c>
      <c r="S4" s="45"/>
      <c r="T4" s="45"/>
      <c r="U4" s="45"/>
      <c r="V4" s="45"/>
      <c r="W4" s="45"/>
      <c r="X4" s="45"/>
      <c r="Y4" s="45"/>
    </row>
    <row r="5" spans="1:30" ht="34.5" customHeight="1" thickBot="1" x14ac:dyDescent="0.35">
      <c r="B5" s="46" t="s">
        <v>76</v>
      </c>
      <c r="C5" s="49" t="s">
        <v>0</v>
      </c>
      <c r="D5" s="42" t="s">
        <v>78</v>
      </c>
      <c r="E5" s="59" t="s">
        <v>81</v>
      </c>
      <c r="F5" s="38" t="s">
        <v>84</v>
      </c>
      <c r="G5" s="38" t="s">
        <v>90</v>
      </c>
      <c r="H5" s="64" t="s">
        <v>1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5"/>
      <c r="W5" s="78" t="s">
        <v>87</v>
      </c>
      <c r="X5" s="79"/>
      <c r="Y5" s="52" t="s">
        <v>2</v>
      </c>
    </row>
    <row r="6" spans="1:30" ht="15" customHeight="1" x14ac:dyDescent="0.3">
      <c r="B6" s="47"/>
      <c r="C6" s="50"/>
      <c r="D6" s="43"/>
      <c r="E6" s="60"/>
      <c r="F6" s="38"/>
      <c r="G6" s="38"/>
      <c r="H6" s="53" t="s">
        <v>3</v>
      </c>
      <c r="I6" s="62" t="s">
        <v>4</v>
      </c>
      <c r="J6" s="63"/>
      <c r="K6" s="63"/>
      <c r="L6" s="55" t="s">
        <v>5</v>
      </c>
      <c r="M6" s="57" t="s">
        <v>6</v>
      </c>
      <c r="N6" s="70" t="s">
        <v>86</v>
      </c>
      <c r="O6" s="53" t="s">
        <v>7</v>
      </c>
      <c r="P6" s="57" t="s">
        <v>8</v>
      </c>
      <c r="Q6" s="68" t="s">
        <v>83</v>
      </c>
      <c r="R6" s="53" t="s">
        <v>9</v>
      </c>
      <c r="S6" s="76" t="s">
        <v>10</v>
      </c>
      <c r="T6" s="74" t="s">
        <v>11</v>
      </c>
      <c r="U6" s="66" t="s">
        <v>82</v>
      </c>
      <c r="V6" s="68" t="s">
        <v>79</v>
      </c>
      <c r="W6" s="72" t="s">
        <v>89</v>
      </c>
      <c r="X6" s="72" t="s">
        <v>88</v>
      </c>
      <c r="Y6" s="43"/>
    </row>
    <row r="7" spans="1:30" ht="102" customHeight="1" thickBot="1" x14ac:dyDescent="0.35">
      <c r="B7" s="48"/>
      <c r="C7" s="51"/>
      <c r="D7" s="44"/>
      <c r="E7" s="61"/>
      <c r="F7" s="38"/>
      <c r="G7" s="38"/>
      <c r="H7" s="54"/>
      <c r="I7" s="29" t="s">
        <v>12</v>
      </c>
      <c r="J7" s="29" t="s">
        <v>85</v>
      </c>
      <c r="K7" s="29" t="s">
        <v>13</v>
      </c>
      <c r="L7" s="56"/>
      <c r="M7" s="58"/>
      <c r="N7" s="71"/>
      <c r="O7" s="54"/>
      <c r="P7" s="58"/>
      <c r="Q7" s="69"/>
      <c r="R7" s="54"/>
      <c r="S7" s="77"/>
      <c r="T7" s="75"/>
      <c r="U7" s="67"/>
      <c r="V7" s="69"/>
      <c r="W7" s="73"/>
      <c r="X7" s="73"/>
      <c r="Y7" s="44"/>
      <c r="Z7" s="15"/>
      <c r="AA7" s="15"/>
    </row>
    <row r="8" spans="1:30" x14ac:dyDescent="0.3">
      <c r="B8" s="16">
        <v>1</v>
      </c>
      <c r="C8" s="30" t="s">
        <v>14</v>
      </c>
      <c r="D8" s="5">
        <v>124982.70505150898</v>
      </c>
      <c r="E8" s="5"/>
      <c r="F8" s="5"/>
      <c r="G8" s="5"/>
      <c r="H8" s="31">
        <v>0</v>
      </c>
      <c r="I8" s="31">
        <v>27491.251514189142</v>
      </c>
      <c r="J8" s="31"/>
      <c r="K8" s="31">
        <v>1551.2758723838808</v>
      </c>
      <c r="L8" s="31">
        <v>1284.026016</v>
      </c>
      <c r="M8" s="31">
        <v>13865.830552131147</v>
      </c>
      <c r="N8" s="31"/>
      <c r="O8" s="31">
        <v>0</v>
      </c>
      <c r="P8" s="31">
        <v>931.21599999999989</v>
      </c>
      <c r="Q8" s="31"/>
      <c r="R8" s="31">
        <v>8483.1730402712401</v>
      </c>
      <c r="S8" s="31">
        <v>10563.391528111235</v>
      </c>
      <c r="T8" s="31">
        <v>0</v>
      </c>
      <c r="U8" s="8"/>
      <c r="V8" s="8">
        <v>2800</v>
      </c>
      <c r="W8" s="8"/>
      <c r="X8" s="8">
        <v>8559.3872668675795</v>
      </c>
      <c r="Y8" s="32">
        <f>D8+E8+F8+G8+H8+I8+J8+K8+L8+M8+N8+O8+P8+Q8+R8+S8+T8+U8+V8+W8+X8</f>
        <v>200512.25684146318</v>
      </c>
      <c r="Z8" s="17"/>
      <c r="AA8" s="17"/>
      <c r="AB8" s="17"/>
      <c r="AC8" s="18"/>
      <c r="AD8" s="18"/>
    </row>
    <row r="9" spans="1:30" x14ac:dyDescent="0.3">
      <c r="B9" s="19">
        <v>2</v>
      </c>
      <c r="C9" s="33" t="s">
        <v>15</v>
      </c>
      <c r="D9" s="6">
        <v>308279.73783745506</v>
      </c>
      <c r="E9" s="6"/>
      <c r="F9" s="6"/>
      <c r="G9" s="6"/>
      <c r="H9" s="1">
        <v>27665.202294262286</v>
      </c>
      <c r="I9" s="1">
        <v>109154.540989895</v>
      </c>
      <c r="J9" s="1"/>
      <c r="K9" s="1">
        <v>40336.183305758204</v>
      </c>
      <c r="L9" s="1">
        <v>14546.126878399999</v>
      </c>
      <c r="M9" s="1">
        <v>32724.870956270668</v>
      </c>
      <c r="N9" s="1"/>
      <c r="O9" s="1">
        <v>23983.895168996332</v>
      </c>
      <c r="P9" s="1">
        <v>5893.083707871413</v>
      </c>
      <c r="Q9" s="1"/>
      <c r="R9" s="1">
        <v>5227.5499827676886</v>
      </c>
      <c r="S9" s="1">
        <v>15698.542483903473</v>
      </c>
      <c r="T9" s="31">
        <v>0</v>
      </c>
      <c r="U9" s="8"/>
      <c r="V9" s="8">
        <v>0</v>
      </c>
      <c r="W9" s="8"/>
      <c r="X9" s="8">
        <v>26236.657003139149</v>
      </c>
      <c r="Y9" s="32">
        <f t="shared" ref="Y9:Y68" si="0">D9+E9+F9+G9+H9+I9+J9+K9+L9+M9+N9+O9+P9+Q9+R9+S9+T9+U9+V9+W9+X9</f>
        <v>609746.3906087192</v>
      </c>
      <c r="Z9" s="17"/>
      <c r="AA9" s="17"/>
      <c r="AB9" s="17"/>
      <c r="AC9" s="18"/>
      <c r="AD9" s="18"/>
    </row>
    <row r="10" spans="1:30" x14ac:dyDescent="0.3">
      <c r="B10" s="19">
        <v>3</v>
      </c>
      <c r="C10" s="33" t="s">
        <v>16</v>
      </c>
      <c r="D10" s="6">
        <v>273558.57564291771</v>
      </c>
      <c r="E10" s="6"/>
      <c r="F10" s="6">
        <v>10000</v>
      </c>
      <c r="G10" s="6">
        <v>10000</v>
      </c>
      <c r="H10" s="1">
        <v>0</v>
      </c>
      <c r="I10" s="1">
        <v>54979.282113443449</v>
      </c>
      <c r="J10" s="1"/>
      <c r="K10" s="1">
        <v>10103.706178055671</v>
      </c>
      <c r="L10" s="1">
        <v>0</v>
      </c>
      <c r="M10" s="1">
        <f>15002.5803908959+5000</f>
        <v>20002.580390895899</v>
      </c>
      <c r="N10" s="1"/>
      <c r="O10" s="1">
        <v>0</v>
      </c>
      <c r="P10" s="1">
        <f>10004.1887705627+5000</f>
        <v>15004.1887705627</v>
      </c>
      <c r="Q10" s="1"/>
      <c r="R10" s="1">
        <v>30955.448904420071</v>
      </c>
      <c r="S10" s="1">
        <v>14155.330860913817</v>
      </c>
      <c r="T10" s="31">
        <v>0</v>
      </c>
      <c r="U10" s="8"/>
      <c r="V10" s="8">
        <v>0</v>
      </c>
      <c r="W10" s="8"/>
      <c r="X10" s="8">
        <v>1837.398498450284</v>
      </c>
      <c r="Y10" s="32">
        <f t="shared" si="0"/>
        <v>440596.51135965955</v>
      </c>
      <c r="Z10" s="17"/>
      <c r="AA10" s="17"/>
      <c r="AB10" s="17"/>
      <c r="AC10" s="18"/>
      <c r="AD10" s="18"/>
    </row>
    <row r="11" spans="1:30" x14ac:dyDescent="0.3">
      <c r="B11" s="19">
        <v>4</v>
      </c>
      <c r="C11" s="33" t="s">
        <v>17</v>
      </c>
      <c r="D11" s="6">
        <v>148346.35646320344</v>
      </c>
      <c r="E11" s="6"/>
      <c r="F11" s="6"/>
      <c r="G11" s="6"/>
      <c r="H11" s="1">
        <v>4644.0387552518578</v>
      </c>
      <c r="I11" s="1">
        <v>46651.457728499903</v>
      </c>
      <c r="J11" s="1"/>
      <c r="K11" s="1">
        <v>5565.668321219775</v>
      </c>
      <c r="L11" s="1">
        <f>4881.522672+1000</f>
        <v>5881.5226720000001</v>
      </c>
      <c r="M11" s="1">
        <f>14040.6503921311+2000</f>
        <v>16040.6503921311</v>
      </c>
      <c r="N11" s="1"/>
      <c r="O11" s="1">
        <v>0</v>
      </c>
      <c r="P11" s="1">
        <f>1327.1953834109+1000</f>
        <v>2327.1953834108999</v>
      </c>
      <c r="Q11" s="1"/>
      <c r="R11" s="1">
        <v>1947.9572638148582</v>
      </c>
      <c r="S11" s="1">
        <f>14926.9366724085+2000</f>
        <v>16926.936672408498</v>
      </c>
      <c r="T11" s="31">
        <v>0</v>
      </c>
      <c r="U11" s="8"/>
      <c r="V11" s="8">
        <v>6100</v>
      </c>
      <c r="W11" s="8"/>
      <c r="X11" s="8">
        <v>27890.07810871672</v>
      </c>
      <c r="Y11" s="32">
        <f t="shared" si="0"/>
        <v>282321.86176065699</v>
      </c>
      <c r="Z11" s="17"/>
      <c r="AA11" s="17"/>
      <c r="AB11" s="17"/>
      <c r="AC11" s="18"/>
      <c r="AD11" s="18"/>
    </row>
    <row r="12" spans="1:30" x14ac:dyDescent="0.3">
      <c r="B12" s="19">
        <v>5</v>
      </c>
      <c r="C12" s="33" t="s">
        <v>18</v>
      </c>
      <c r="D12" s="6">
        <v>67724.412785814886</v>
      </c>
      <c r="E12" s="6"/>
      <c r="F12" s="6"/>
      <c r="G12" s="6"/>
      <c r="H12" s="1">
        <v>0</v>
      </c>
      <c r="I12" s="1">
        <v>20908.786414452465</v>
      </c>
      <c r="J12" s="1"/>
      <c r="K12" s="1">
        <v>5042.0229132197755</v>
      </c>
      <c r="L12" s="1">
        <v>1862.6668319999999</v>
      </c>
      <c r="M12" s="1">
        <v>13996.91033704827</v>
      </c>
      <c r="N12" s="1"/>
      <c r="O12" s="1">
        <v>0</v>
      </c>
      <c r="P12" s="1">
        <v>2654.675522656983</v>
      </c>
      <c r="Q12" s="1"/>
      <c r="R12" s="1">
        <v>3654.3292508484869</v>
      </c>
      <c r="S12" s="1">
        <v>10563.391528111235</v>
      </c>
      <c r="T12" s="31">
        <v>0</v>
      </c>
      <c r="U12" s="8"/>
      <c r="V12" s="8">
        <v>0</v>
      </c>
      <c r="W12" s="8"/>
      <c r="X12" s="8">
        <v>7913.1644691558877</v>
      </c>
      <c r="Y12" s="32">
        <f t="shared" si="0"/>
        <v>134320.36005330799</v>
      </c>
      <c r="Z12" s="17"/>
      <c r="AA12" s="17"/>
      <c r="AB12" s="17"/>
      <c r="AC12" s="18"/>
      <c r="AD12" s="18"/>
    </row>
    <row r="13" spans="1:30" x14ac:dyDescent="0.3">
      <c r="B13" s="19">
        <v>6</v>
      </c>
      <c r="C13" s="33" t="s">
        <v>19</v>
      </c>
      <c r="D13" s="6">
        <v>199229.82502052173</v>
      </c>
      <c r="E13" s="6"/>
      <c r="F13" s="6"/>
      <c r="G13" s="6"/>
      <c r="H13" s="1">
        <v>0</v>
      </c>
      <c r="I13" s="1">
        <v>55734.009901739701</v>
      </c>
      <c r="J13" s="1"/>
      <c r="K13" s="1">
        <v>3548.6419209937685</v>
      </c>
      <c r="L13" s="1">
        <v>2595.3676320000004</v>
      </c>
      <c r="M13" s="1">
        <v>14237.97382862523</v>
      </c>
      <c r="N13" s="1"/>
      <c r="O13" s="1">
        <v>0</v>
      </c>
      <c r="P13" s="1">
        <v>4702.3275274114094</v>
      </c>
      <c r="Q13" s="1"/>
      <c r="R13" s="1">
        <v>11253.922929253806</v>
      </c>
      <c r="S13" s="1">
        <v>12106.603208407272</v>
      </c>
      <c r="T13" s="31">
        <v>0</v>
      </c>
      <c r="U13" s="8"/>
      <c r="V13" s="8">
        <v>0</v>
      </c>
      <c r="W13" s="8"/>
      <c r="X13" s="8">
        <v>7941.0279907804043</v>
      </c>
      <c r="Y13" s="32">
        <f t="shared" si="0"/>
        <v>311349.69995973335</v>
      </c>
      <c r="Z13" s="17"/>
      <c r="AA13" s="17"/>
      <c r="AB13" s="17"/>
      <c r="AC13" s="18"/>
      <c r="AD13" s="18"/>
    </row>
    <row r="14" spans="1:30" x14ac:dyDescent="0.3">
      <c r="B14" s="19">
        <v>7</v>
      </c>
      <c r="C14" s="33" t="s">
        <v>20</v>
      </c>
      <c r="D14" s="6">
        <v>425818.99758445856</v>
      </c>
      <c r="E14" s="6"/>
      <c r="F14" s="6"/>
      <c r="G14" s="6"/>
      <c r="H14" s="1">
        <v>24325.917289414479</v>
      </c>
      <c r="I14" s="1">
        <v>128197.654577501</v>
      </c>
      <c r="J14" s="1"/>
      <c r="K14" s="1">
        <v>29747.066248244289</v>
      </c>
      <c r="L14" s="1">
        <v>9920.8770231999988</v>
      </c>
      <c r="M14" s="1">
        <f>24535.8915553119+1900</f>
        <v>26435.8915553119</v>
      </c>
      <c r="N14" s="1"/>
      <c r="O14" s="1">
        <v>0</v>
      </c>
      <c r="P14" s="1">
        <v>8606.084325204667</v>
      </c>
      <c r="Q14" s="1"/>
      <c r="R14" s="1">
        <v>15173.32452283462</v>
      </c>
      <c r="S14" s="1">
        <v>14926.936672408636</v>
      </c>
      <c r="T14" s="31">
        <v>0</v>
      </c>
      <c r="U14" s="8"/>
      <c r="V14" s="8">
        <v>0</v>
      </c>
      <c r="W14" s="8"/>
      <c r="X14" s="8">
        <v>32372.021754844551</v>
      </c>
      <c r="Y14" s="32">
        <f t="shared" si="0"/>
        <v>715524.77155342267</v>
      </c>
      <c r="Z14" s="17"/>
      <c r="AA14" s="17"/>
      <c r="AB14" s="17"/>
      <c r="AC14" s="18"/>
      <c r="AD14" s="18"/>
    </row>
    <row r="15" spans="1:30" x14ac:dyDescent="0.3">
      <c r="B15" s="19">
        <v>8</v>
      </c>
      <c r="C15" s="33" t="s">
        <v>21</v>
      </c>
      <c r="D15" s="6">
        <v>220870.18870897332</v>
      </c>
      <c r="E15" s="6"/>
      <c r="F15" s="6"/>
      <c r="G15" s="6"/>
      <c r="H15" s="1">
        <v>0</v>
      </c>
      <c r="I15" s="1">
        <v>55458.800366457828</v>
      </c>
      <c r="J15" s="1"/>
      <c r="K15" s="1">
        <v>1513.0413438421256</v>
      </c>
      <c r="L15" s="1">
        <v>1358.3244480000001</v>
      </c>
      <c r="M15" s="1">
        <v>13275.813592131148</v>
      </c>
      <c r="N15" s="1"/>
      <c r="O15" s="1">
        <v>0</v>
      </c>
      <c r="P15" s="1">
        <v>935.79199999999992</v>
      </c>
      <c r="Q15" s="1"/>
      <c r="R15" s="1">
        <v>8402.971982807494</v>
      </c>
      <c r="S15" s="1">
        <v>31499.29315433621</v>
      </c>
      <c r="T15" s="31">
        <v>0</v>
      </c>
      <c r="U15" s="8"/>
      <c r="V15" s="8">
        <v>0</v>
      </c>
      <c r="W15" s="8"/>
      <c r="X15" s="8">
        <v>15965.880292036274</v>
      </c>
      <c r="Y15" s="32">
        <f t="shared" si="0"/>
        <v>349280.1058885844</v>
      </c>
      <c r="Z15" s="17"/>
      <c r="AA15" s="17"/>
      <c r="AB15" s="17"/>
      <c r="AC15" s="18"/>
      <c r="AD15" s="18"/>
    </row>
    <row r="16" spans="1:30" x14ac:dyDescent="0.3">
      <c r="B16" s="19">
        <v>9</v>
      </c>
      <c r="C16" s="33" t="s">
        <v>22</v>
      </c>
      <c r="D16" s="7">
        <v>83190.773454343449</v>
      </c>
      <c r="E16" s="7"/>
      <c r="F16" s="7"/>
      <c r="G16" s="7"/>
      <c r="H16" s="1">
        <v>0</v>
      </c>
      <c r="I16" s="1">
        <v>2794.8084471024999</v>
      </c>
      <c r="J16" s="1"/>
      <c r="K16" s="1">
        <v>523.64540799999997</v>
      </c>
      <c r="L16" s="1">
        <v>1180.2267359999998</v>
      </c>
      <c r="M16" s="1">
        <v>13865.830552131147</v>
      </c>
      <c r="N16" s="1"/>
      <c r="O16" s="1">
        <v>0</v>
      </c>
      <c r="P16" s="1">
        <v>4647.3082176483404</v>
      </c>
      <c r="Q16" s="1"/>
      <c r="R16" s="1">
        <v>5439.7014443982926</v>
      </c>
      <c r="S16" s="1">
        <v>6576.1543922526525</v>
      </c>
      <c r="T16" s="31">
        <v>0</v>
      </c>
      <c r="U16" s="8"/>
      <c r="V16" s="8">
        <v>0</v>
      </c>
      <c r="W16" s="8"/>
      <c r="X16" s="8">
        <v>627.80208015980941</v>
      </c>
      <c r="Y16" s="32">
        <f t="shared" si="0"/>
        <v>118846.25073203618</v>
      </c>
      <c r="Z16" s="17"/>
      <c r="AA16" s="17"/>
      <c r="AB16" s="17"/>
      <c r="AC16" s="18"/>
      <c r="AD16" s="18"/>
    </row>
    <row r="17" spans="2:30" x14ac:dyDescent="0.3">
      <c r="B17" s="19">
        <v>10</v>
      </c>
      <c r="C17" s="33" t="s">
        <v>23</v>
      </c>
      <c r="D17" s="6">
        <v>877905.18104226398</v>
      </c>
      <c r="E17" s="6"/>
      <c r="F17" s="6"/>
      <c r="G17" s="6"/>
      <c r="H17" s="1">
        <v>22976.934603365127</v>
      </c>
      <c r="I17" s="1">
        <v>197349.635558346</v>
      </c>
      <c r="J17" s="1"/>
      <c r="K17" s="1">
        <v>50924.214188581631</v>
      </c>
      <c r="L17" s="1">
        <v>19539.202176000003</v>
      </c>
      <c r="M17" s="1">
        <v>51851.499610735962</v>
      </c>
      <c r="N17" s="1"/>
      <c r="O17" s="1">
        <v>0</v>
      </c>
      <c r="P17" s="1">
        <v>3340.7889339897788</v>
      </c>
      <c r="Q17" s="1"/>
      <c r="R17" s="1">
        <v>25934.117164798365</v>
      </c>
      <c r="S17" s="1">
        <v>47421.985313253754</v>
      </c>
      <c r="T17" s="31">
        <v>0</v>
      </c>
      <c r="U17" s="8"/>
      <c r="V17" s="8">
        <v>221600</v>
      </c>
      <c r="W17" s="8"/>
      <c r="X17" s="8">
        <v>47188.709460449347</v>
      </c>
      <c r="Y17" s="32">
        <f t="shared" si="0"/>
        <v>1566032.268051784</v>
      </c>
      <c r="Z17" s="17"/>
      <c r="AA17" s="17"/>
      <c r="AB17" s="17"/>
      <c r="AC17" s="18"/>
      <c r="AD17" s="18"/>
    </row>
    <row r="18" spans="2:30" x14ac:dyDescent="0.3">
      <c r="B18" s="19">
        <v>11</v>
      </c>
      <c r="C18" s="33" t="s">
        <v>24</v>
      </c>
      <c r="D18" s="6">
        <v>711855.46770868974</v>
      </c>
      <c r="E18" s="6"/>
      <c r="F18" s="6"/>
      <c r="G18" s="6"/>
      <c r="H18" s="1">
        <v>28748.811342035304</v>
      </c>
      <c r="I18" s="1">
        <v>228935.65524026818</v>
      </c>
      <c r="J18" s="1"/>
      <c r="K18" s="1">
        <v>58487.248558411302</v>
      </c>
      <c r="L18" s="1">
        <v>34483.791888</v>
      </c>
      <c r="M18" s="1">
        <f>33088.8942882463+3000</f>
        <v>36088.894288246302</v>
      </c>
      <c r="N18" s="1"/>
      <c r="O18" s="1">
        <v>21333.043597686206</v>
      </c>
      <c r="P18" s="1">
        <v>12680.62353595955</v>
      </c>
      <c r="Q18" s="1"/>
      <c r="R18" s="1">
        <v>18878.301494681262</v>
      </c>
      <c r="S18" s="1">
        <v>15698.542483903473</v>
      </c>
      <c r="T18" s="31">
        <v>0</v>
      </c>
      <c r="U18" s="8"/>
      <c r="V18" s="8">
        <v>16800</v>
      </c>
      <c r="W18" s="8"/>
      <c r="X18" s="8">
        <v>24830.467965698677</v>
      </c>
      <c r="Y18" s="32">
        <f t="shared" si="0"/>
        <v>1208820.8481035798</v>
      </c>
      <c r="Z18" s="17"/>
      <c r="AA18" s="17"/>
      <c r="AB18" s="17"/>
      <c r="AC18" s="18"/>
      <c r="AD18" s="18"/>
    </row>
    <row r="19" spans="2:30" x14ac:dyDescent="0.3">
      <c r="B19" s="19">
        <v>12</v>
      </c>
      <c r="C19" s="33" t="s">
        <v>25</v>
      </c>
      <c r="D19" s="6">
        <v>618189.19428433327</v>
      </c>
      <c r="E19" s="6"/>
      <c r="F19" s="6"/>
      <c r="G19" s="6"/>
      <c r="H19" s="1">
        <v>21499.552918927413</v>
      </c>
      <c r="I19" s="1">
        <v>174483.41023455971</v>
      </c>
      <c r="J19" s="1"/>
      <c r="K19" s="1">
        <v>41848.138474909851</v>
      </c>
      <c r="L19" s="1">
        <v>11439.323376</v>
      </c>
      <c r="M19" s="1">
        <v>35439.375188182348</v>
      </c>
      <c r="N19" s="1">
        <v>6000</v>
      </c>
      <c r="O19" s="1">
        <v>27040</v>
      </c>
      <c r="P19" s="1">
        <v>4211.1979597726368</v>
      </c>
      <c r="Q19" s="1"/>
      <c r="R19" s="1">
        <v>9204.7615557682293</v>
      </c>
      <c r="S19" s="1">
        <v>61952.880675267996</v>
      </c>
      <c r="T19" s="31">
        <v>0</v>
      </c>
      <c r="U19" s="8"/>
      <c r="V19" s="8">
        <v>0</v>
      </c>
      <c r="W19" s="8"/>
      <c r="X19" s="8">
        <v>29695.966713995807</v>
      </c>
      <c r="Y19" s="32">
        <f t="shared" si="0"/>
        <v>1041003.8013817172</v>
      </c>
      <c r="Z19" s="17"/>
      <c r="AA19" s="17"/>
      <c r="AB19" s="17"/>
      <c r="AC19" s="18"/>
      <c r="AD19" s="18"/>
    </row>
    <row r="20" spans="2:30" x14ac:dyDescent="0.3">
      <c r="B20" s="19">
        <v>13</v>
      </c>
      <c r="C20" s="33" t="s">
        <v>26</v>
      </c>
      <c r="D20" s="6">
        <v>125140.23137572323</v>
      </c>
      <c r="E20" s="6"/>
      <c r="F20" s="6"/>
      <c r="G20" s="6"/>
      <c r="H20" s="1">
        <v>0</v>
      </c>
      <c r="I20" s="1">
        <v>9058.2400117303914</v>
      </c>
      <c r="J20" s="1"/>
      <c r="K20" s="1">
        <v>1537.2110163838809</v>
      </c>
      <c r="L20" s="1">
        <v>0</v>
      </c>
      <c r="M20" s="1">
        <f>13275.8135921311+3000</f>
        <v>16275.8135921311</v>
      </c>
      <c r="N20" s="1"/>
      <c r="O20" s="34"/>
      <c r="P20" s="1">
        <v>3717.9959124510124</v>
      </c>
      <c r="Q20" s="1"/>
      <c r="R20" s="1">
        <v>3032.3155214360695</v>
      </c>
      <c r="S20" s="1">
        <v>16470.148295398307</v>
      </c>
      <c r="T20" s="31">
        <v>0</v>
      </c>
      <c r="U20" s="8"/>
      <c r="V20" s="8">
        <v>0</v>
      </c>
      <c r="W20" s="8"/>
      <c r="X20" s="8">
        <v>8110.8421134271321</v>
      </c>
      <c r="Y20" s="32">
        <f t="shared" si="0"/>
        <v>183342.79783868112</v>
      </c>
      <c r="Z20" s="17"/>
      <c r="AA20" s="17"/>
      <c r="AB20" s="17"/>
      <c r="AC20" s="18"/>
      <c r="AD20" s="18"/>
    </row>
    <row r="21" spans="2:30" x14ac:dyDescent="0.3">
      <c r="B21" s="19">
        <v>14</v>
      </c>
      <c r="C21" s="33" t="s">
        <v>27</v>
      </c>
      <c r="D21" s="6">
        <v>81069.372534502661</v>
      </c>
      <c r="E21" s="6"/>
      <c r="F21" s="6"/>
      <c r="G21" s="6"/>
      <c r="H21" s="1">
        <v>0</v>
      </c>
      <c r="I21" s="1">
        <v>23703.100699187464</v>
      </c>
      <c r="J21" s="1"/>
      <c r="K21" s="1">
        <v>10084.045826439551</v>
      </c>
      <c r="L21" s="1">
        <v>4802.853744</v>
      </c>
      <c r="M21" s="1">
        <f>14040.6503921311+7000</f>
        <v>21040.650392131101</v>
      </c>
      <c r="N21" s="1"/>
      <c r="O21" s="1">
        <v>0</v>
      </c>
      <c r="P21" s="1">
        <f>12298.3838075625+8000</f>
        <v>20298.383807562503</v>
      </c>
      <c r="Q21" s="1"/>
      <c r="R21" s="1">
        <v>14507.736253639183</v>
      </c>
      <c r="S21" s="1">
        <v>2984.2150594500736</v>
      </c>
      <c r="T21" s="31">
        <v>0</v>
      </c>
      <c r="U21" s="8"/>
      <c r="V21" s="8">
        <v>900</v>
      </c>
      <c r="W21" s="8"/>
      <c r="X21" s="8">
        <v>1363.9736278493913</v>
      </c>
      <c r="Y21" s="32">
        <f t="shared" si="0"/>
        <v>180754.33194476191</v>
      </c>
      <c r="Z21" s="17"/>
      <c r="AA21" s="17"/>
      <c r="AB21" s="17"/>
      <c r="AC21" s="18"/>
      <c r="AD21" s="18"/>
    </row>
    <row r="22" spans="2:30" x14ac:dyDescent="0.3">
      <c r="B22" s="19">
        <v>15</v>
      </c>
      <c r="C22" s="33" t="s">
        <v>28</v>
      </c>
      <c r="D22" s="6">
        <v>219985.02908931285</v>
      </c>
      <c r="E22" s="6"/>
      <c r="F22" s="6"/>
      <c r="G22" s="6"/>
      <c r="H22" s="1">
        <v>18262.129543271352</v>
      </c>
      <c r="I22" s="1">
        <v>82347.039930707368</v>
      </c>
      <c r="J22" s="1"/>
      <c r="K22" s="1">
        <v>25210.114566098877</v>
      </c>
      <c r="L22" s="1">
        <v>6286.829952</v>
      </c>
      <c r="M22" s="1">
        <v>30618.961099759952</v>
      </c>
      <c r="N22" s="1"/>
      <c r="O22" s="1">
        <v>0</v>
      </c>
      <c r="P22" s="1">
        <v>7334.8468151895586</v>
      </c>
      <c r="Q22" s="1"/>
      <c r="R22" s="1">
        <v>8277.8061046045241</v>
      </c>
      <c r="S22" s="1">
        <v>10168.093725055222</v>
      </c>
      <c r="T22" s="31">
        <v>0</v>
      </c>
      <c r="U22" s="8"/>
      <c r="V22" s="8">
        <v>0</v>
      </c>
      <c r="W22" s="8">
        <v>100000</v>
      </c>
      <c r="X22" s="8">
        <v>0</v>
      </c>
      <c r="Y22" s="32">
        <f t="shared" si="0"/>
        <v>508490.85082599975</v>
      </c>
      <c r="Z22" s="17"/>
      <c r="AA22" s="17"/>
      <c r="AB22" s="17"/>
      <c r="AC22" s="18"/>
      <c r="AD22" s="18"/>
    </row>
    <row r="23" spans="2:30" x14ac:dyDescent="0.3">
      <c r="B23" s="20">
        <v>16</v>
      </c>
      <c r="C23" s="33" t="s">
        <v>29</v>
      </c>
      <c r="D23" s="7">
        <v>223687.72246663301</v>
      </c>
      <c r="E23" s="7"/>
      <c r="F23" s="7"/>
      <c r="G23" s="7"/>
      <c r="H23" s="1">
        <v>6523.7687276157039</v>
      </c>
      <c r="I23" s="1">
        <v>71309.898589399876</v>
      </c>
      <c r="J23" s="1"/>
      <c r="K23" s="1">
        <v>9074.9895389813082</v>
      </c>
      <c r="L23" s="1">
        <v>3860.8190400000003</v>
      </c>
      <c r="M23" s="1">
        <f>14837.0570329375+3000</f>
        <v>17837.0570329375</v>
      </c>
      <c r="N23" s="1"/>
      <c r="O23" s="1">
        <v>0</v>
      </c>
      <c r="P23" s="1">
        <f>12101.0886229412+4000</f>
        <v>16101.088622941201</v>
      </c>
      <c r="Q23" s="1"/>
      <c r="R23" s="1">
        <v>20987.816621988182</v>
      </c>
      <c r="S23" s="1">
        <v>10563.391528111235</v>
      </c>
      <c r="T23" s="31">
        <v>0</v>
      </c>
      <c r="U23" s="8"/>
      <c r="V23" s="8">
        <v>3800</v>
      </c>
      <c r="W23" s="8"/>
      <c r="X23" s="8">
        <v>5001.8190474175653</v>
      </c>
      <c r="Y23" s="32">
        <f t="shared" si="0"/>
        <v>388748.37121602555</v>
      </c>
      <c r="Z23" s="17"/>
      <c r="AA23" s="17"/>
      <c r="AB23" s="17"/>
      <c r="AC23" s="18"/>
      <c r="AD23" s="18"/>
    </row>
    <row r="24" spans="2:30" x14ac:dyDescent="0.3">
      <c r="B24" s="19">
        <v>17</v>
      </c>
      <c r="C24" s="33" t="s">
        <v>30</v>
      </c>
      <c r="D24" s="6">
        <v>148628.06668205556</v>
      </c>
      <c r="E24" s="6"/>
      <c r="F24" s="6"/>
      <c r="G24" s="6"/>
      <c r="H24" s="1">
        <v>6800.1996059045023</v>
      </c>
      <c r="I24" s="1">
        <v>34073.837235964202</v>
      </c>
      <c r="J24" s="1"/>
      <c r="K24" s="1">
        <v>3548.6419209937685</v>
      </c>
      <c r="L24" s="1">
        <v>3060.375552</v>
      </c>
      <c r="M24" s="1">
        <v>15752.806622767946</v>
      </c>
      <c r="N24" s="1"/>
      <c r="O24" s="1">
        <v>0</v>
      </c>
      <c r="P24" s="1">
        <v>9279.3569536080158</v>
      </c>
      <c r="Q24" s="1">
        <v>5000</v>
      </c>
      <c r="R24" s="1">
        <v>1721.4621168283279</v>
      </c>
      <c r="S24" s="1">
        <v>10563.391528111235</v>
      </c>
      <c r="T24" s="31">
        <v>0</v>
      </c>
      <c r="U24" s="8"/>
      <c r="V24" s="8">
        <v>0</v>
      </c>
      <c r="W24" s="8"/>
      <c r="X24" s="8">
        <v>2603.6463873216085</v>
      </c>
      <c r="Y24" s="32">
        <f t="shared" si="0"/>
        <v>241031.78460555518</v>
      </c>
      <c r="Z24" s="17"/>
      <c r="AA24" s="17"/>
      <c r="AB24" s="17"/>
      <c r="AC24" s="18"/>
      <c r="AD24" s="18"/>
    </row>
    <row r="25" spans="2:30" x14ac:dyDescent="0.3">
      <c r="B25" s="19">
        <v>18</v>
      </c>
      <c r="C25" s="33" t="s">
        <v>31</v>
      </c>
      <c r="D25" s="6">
        <v>124998.28388094954</v>
      </c>
      <c r="E25" s="6"/>
      <c r="F25" s="6"/>
      <c r="G25" s="6"/>
      <c r="H25" s="1">
        <v>0</v>
      </c>
      <c r="I25" s="1">
        <v>15109.651648749757</v>
      </c>
      <c r="J25" s="1"/>
      <c r="K25" s="1">
        <v>1027.630464383881</v>
      </c>
      <c r="L25" s="1">
        <v>645.29088000000002</v>
      </c>
      <c r="M25" s="1">
        <f>13398.6440658483+3000</f>
        <v>16398.644065848301</v>
      </c>
      <c r="N25" s="1"/>
      <c r="O25" s="1">
        <v>0</v>
      </c>
      <c r="P25" s="1">
        <v>8223.6250507407349</v>
      </c>
      <c r="Q25" s="1"/>
      <c r="R25" s="1">
        <v>4820.6047116068785</v>
      </c>
      <c r="S25" s="1">
        <v>10563.391528111235</v>
      </c>
      <c r="T25" s="31">
        <v>0</v>
      </c>
      <c r="U25" s="8"/>
      <c r="V25" s="8">
        <v>0</v>
      </c>
      <c r="W25" s="8"/>
      <c r="X25" s="8">
        <v>6368.3621252798839</v>
      </c>
      <c r="Y25" s="32">
        <f t="shared" si="0"/>
        <v>188155.48435567017</v>
      </c>
      <c r="Z25" s="17"/>
      <c r="AA25" s="17"/>
      <c r="AB25" s="17"/>
      <c r="AC25" s="18"/>
      <c r="AD25" s="18"/>
    </row>
    <row r="26" spans="2:30" x14ac:dyDescent="0.3">
      <c r="B26" s="19">
        <v>19</v>
      </c>
      <c r="C26" s="33" t="s">
        <v>32</v>
      </c>
      <c r="D26" s="6">
        <v>526497.20869203634</v>
      </c>
      <c r="E26" s="6"/>
      <c r="F26" s="6"/>
      <c r="G26" s="6"/>
      <c r="H26" s="1">
        <v>0</v>
      </c>
      <c r="I26" s="1">
        <v>188929.92998612201</v>
      </c>
      <c r="J26" s="1">
        <v>25000</v>
      </c>
      <c r="K26" s="1">
        <f>21699.7071736469+10000</f>
        <v>31699.707173646901</v>
      </c>
      <c r="L26" s="1">
        <v>10442.207568</v>
      </c>
      <c r="M26" s="1">
        <v>49676.905592131166</v>
      </c>
      <c r="N26" s="1"/>
      <c r="O26" s="1">
        <v>0</v>
      </c>
      <c r="P26" s="1">
        <v>572</v>
      </c>
      <c r="Q26" s="1"/>
      <c r="R26" s="1">
        <v>0</v>
      </c>
      <c r="S26" s="1">
        <v>3755.82087094491</v>
      </c>
      <c r="T26" s="31">
        <v>0</v>
      </c>
      <c r="U26" s="8"/>
      <c r="V26" s="8">
        <v>35000</v>
      </c>
      <c r="W26" s="8"/>
      <c r="X26" s="8">
        <v>60151.745132337375</v>
      </c>
      <c r="Y26" s="32">
        <f t="shared" si="0"/>
        <v>931725.52501521865</v>
      </c>
      <c r="Z26" s="17"/>
      <c r="AA26" s="17"/>
      <c r="AB26" s="17"/>
      <c r="AC26" s="18"/>
      <c r="AD26" s="18"/>
    </row>
    <row r="27" spans="2:30" x14ac:dyDescent="0.3">
      <c r="B27" s="19">
        <v>20</v>
      </c>
      <c r="C27" s="33" t="s">
        <v>33</v>
      </c>
      <c r="D27" s="6">
        <v>226372.87088061028</v>
      </c>
      <c r="E27" s="6"/>
      <c r="F27" s="6"/>
      <c r="G27" s="6"/>
      <c r="H27" s="1">
        <v>12856.24728745555</v>
      </c>
      <c r="I27" s="1">
        <v>72863.956529399875</v>
      </c>
      <c r="J27" s="1"/>
      <c r="K27" s="1">
        <v>17143.095139885332</v>
      </c>
      <c r="L27" s="1">
        <v>6845.4153973920002</v>
      </c>
      <c r="M27" s="1">
        <v>17720.574705526349</v>
      </c>
      <c r="N27" s="1"/>
      <c r="O27" s="1">
        <v>0</v>
      </c>
      <c r="P27" s="1">
        <v>935.79199999999992</v>
      </c>
      <c r="Q27" s="1"/>
      <c r="R27" s="1">
        <v>6052.1297898620651</v>
      </c>
      <c r="S27" s="1">
        <v>20833.693439695708</v>
      </c>
      <c r="T27" s="31">
        <v>0</v>
      </c>
      <c r="U27" s="8"/>
      <c r="V27" s="8">
        <v>53400</v>
      </c>
      <c r="W27" s="8"/>
      <c r="X27" s="8">
        <v>126127.77192346056</v>
      </c>
      <c r="Y27" s="32">
        <f t="shared" si="0"/>
        <v>561151.54709328769</v>
      </c>
      <c r="Z27" s="17"/>
      <c r="AA27" s="17"/>
      <c r="AB27" s="17"/>
      <c r="AC27" s="18"/>
      <c r="AD27" s="18"/>
    </row>
    <row r="28" spans="2:30" x14ac:dyDescent="0.3">
      <c r="B28" s="19">
        <v>21</v>
      </c>
      <c r="C28" s="33" t="s">
        <v>34</v>
      </c>
      <c r="D28" s="6">
        <v>62850.006648380317</v>
      </c>
      <c r="E28" s="6">
        <v>8000</v>
      </c>
      <c r="F28" s="6"/>
      <c r="G28" s="6"/>
      <c r="H28" s="1">
        <v>0</v>
      </c>
      <c r="I28" s="1">
        <v>8408.1391764312721</v>
      </c>
      <c r="J28" s="1"/>
      <c r="K28" s="1">
        <v>1513.0413438421256</v>
      </c>
      <c r="L28" s="1">
        <v>2964.2246399999999</v>
      </c>
      <c r="M28" s="1">
        <v>14040.650392131147</v>
      </c>
      <c r="N28" s="1"/>
      <c r="O28" s="1">
        <v>0</v>
      </c>
      <c r="P28" s="1">
        <v>3313.4076869375385</v>
      </c>
      <c r="Q28" s="1"/>
      <c r="R28" s="1">
        <v>8277.8061046045241</v>
      </c>
      <c r="S28" s="1">
        <v>10563.391528111235</v>
      </c>
      <c r="T28" s="31">
        <v>0</v>
      </c>
      <c r="U28" s="8"/>
      <c r="V28" s="8">
        <v>0</v>
      </c>
      <c r="W28" s="8"/>
      <c r="X28" s="8">
        <v>0</v>
      </c>
      <c r="Y28" s="32">
        <f t="shared" si="0"/>
        <v>119930.66752043815</v>
      </c>
      <c r="Z28" s="17"/>
      <c r="AA28" s="17"/>
      <c r="AB28" s="17"/>
      <c r="AC28" s="18"/>
      <c r="AD28" s="18"/>
    </row>
    <row r="29" spans="2:30" x14ac:dyDescent="0.3">
      <c r="B29" s="19">
        <v>22</v>
      </c>
      <c r="C29" s="33" t="s">
        <v>35</v>
      </c>
      <c r="D29" s="6">
        <v>144730.22811118615</v>
      </c>
      <c r="E29" s="6"/>
      <c r="F29" s="6"/>
      <c r="G29" s="6"/>
      <c r="H29" s="1">
        <v>0</v>
      </c>
      <c r="I29" s="1">
        <v>27152.2676420059</v>
      </c>
      <c r="J29" s="1"/>
      <c r="K29" s="1">
        <v>5546.0079696036564</v>
      </c>
      <c r="L29" s="1">
        <v>1876.870944</v>
      </c>
      <c r="M29" s="1">
        <v>13865.830552131147</v>
      </c>
      <c r="N29" s="1"/>
      <c r="O29" s="1">
        <v>0</v>
      </c>
      <c r="P29" s="1">
        <f>7365.66469422023+500</f>
        <v>7865.6646942202296</v>
      </c>
      <c r="Q29" s="1"/>
      <c r="R29" s="1">
        <v>10866.974927158895</v>
      </c>
      <c r="S29" s="1">
        <v>2984.2150594500736</v>
      </c>
      <c r="T29" s="31">
        <v>0</v>
      </c>
      <c r="U29" s="8"/>
      <c r="V29" s="8">
        <v>0</v>
      </c>
      <c r="W29" s="8"/>
      <c r="X29" s="8">
        <v>6400.4652140733269</v>
      </c>
      <c r="Y29" s="32">
        <f t="shared" si="0"/>
        <v>221288.52511382938</v>
      </c>
      <c r="Z29" s="17"/>
      <c r="AA29" s="17"/>
      <c r="AB29" s="17"/>
      <c r="AC29" s="18"/>
      <c r="AD29" s="18"/>
    </row>
    <row r="30" spans="2:30" x14ac:dyDescent="0.3">
      <c r="B30" s="19">
        <v>23</v>
      </c>
      <c r="C30" s="33" t="s">
        <v>36</v>
      </c>
      <c r="D30" s="6">
        <v>124983.19307580203</v>
      </c>
      <c r="E30" s="6"/>
      <c r="F30" s="6"/>
      <c r="G30" s="6"/>
      <c r="H30" s="1">
        <v>9820.4738155610994</v>
      </c>
      <c r="I30" s="1">
        <v>33376.0318828624</v>
      </c>
      <c r="J30" s="1"/>
      <c r="K30" s="1">
        <v>5546.0079696036564</v>
      </c>
      <c r="L30" s="1">
        <v>4253.7137760000005</v>
      </c>
      <c r="M30" s="1">
        <f>14156.5715924268+2500</f>
        <v>16656.571592426801</v>
      </c>
      <c r="N30" s="1"/>
      <c r="O30" s="1">
        <v>0</v>
      </c>
      <c r="P30" s="1">
        <f>12761.2636527565+3500</f>
        <v>16261.263652756499</v>
      </c>
      <c r="Q30" s="1"/>
      <c r="R30" s="1">
        <v>9639.0445088294</v>
      </c>
      <c r="S30" s="1">
        <f>16843.1077969124+2000</f>
        <v>18843.107796912402</v>
      </c>
      <c r="T30" s="31">
        <v>0</v>
      </c>
      <c r="U30" s="8"/>
      <c r="V30" s="8">
        <v>0</v>
      </c>
      <c r="W30" s="8"/>
      <c r="X30" s="8">
        <v>1216.398544106898</v>
      </c>
      <c r="Y30" s="32">
        <f t="shared" si="0"/>
        <v>240595.80661486118</v>
      </c>
      <c r="Z30" s="17"/>
      <c r="AA30" s="17"/>
      <c r="AB30" s="17"/>
      <c r="AC30" s="18"/>
      <c r="AD30" s="18"/>
    </row>
    <row r="31" spans="2:30" x14ac:dyDescent="0.3">
      <c r="B31" s="19">
        <v>24</v>
      </c>
      <c r="C31" s="33" t="s">
        <v>37</v>
      </c>
      <c r="D31" s="6">
        <v>62898.819557970375</v>
      </c>
      <c r="E31" s="6"/>
      <c r="F31" s="6"/>
      <c r="G31" s="6"/>
      <c r="H31" s="1">
        <v>0</v>
      </c>
      <c r="I31" s="1">
        <v>11190.287964299599</v>
      </c>
      <c r="J31" s="1"/>
      <c r="K31" s="1">
        <v>1551.2758723838808</v>
      </c>
      <c r="L31" s="1">
        <v>0</v>
      </c>
      <c r="M31" s="1">
        <v>13865.830552131147</v>
      </c>
      <c r="N31" s="1"/>
      <c r="O31" s="1">
        <v>0</v>
      </c>
      <c r="P31" s="1">
        <v>1810.0088215580556</v>
      </c>
      <c r="Q31" s="1"/>
      <c r="R31" s="1">
        <v>1866.0400606776789</v>
      </c>
      <c r="S31" s="1">
        <v>11334.99733960607</v>
      </c>
      <c r="T31" s="31">
        <v>0</v>
      </c>
      <c r="U31" s="8">
        <v>50000</v>
      </c>
      <c r="V31" s="8">
        <v>0</v>
      </c>
      <c r="W31" s="8"/>
      <c r="X31" s="8">
        <v>8137.0316072997357</v>
      </c>
      <c r="Y31" s="32">
        <f t="shared" si="0"/>
        <v>162654.29177592651</v>
      </c>
      <c r="Z31" s="17"/>
      <c r="AA31" s="17"/>
      <c r="AB31" s="17"/>
      <c r="AC31" s="18"/>
      <c r="AD31" s="18"/>
    </row>
    <row r="32" spans="2:30" x14ac:dyDescent="0.3">
      <c r="B32" s="19">
        <v>25</v>
      </c>
      <c r="C32" s="33" t="s">
        <v>38</v>
      </c>
      <c r="D32" s="6">
        <v>462076.91933749476</v>
      </c>
      <c r="E32" s="6"/>
      <c r="F32" s="6"/>
      <c r="G32" s="6"/>
      <c r="H32" s="1">
        <v>22114.470263104075</v>
      </c>
      <c r="I32" s="1">
        <v>147075.91340116726</v>
      </c>
      <c r="J32" s="1"/>
      <c r="K32" s="1">
        <v>43865.164875135852</v>
      </c>
      <c r="L32" s="1">
        <v>19591.648128000001</v>
      </c>
      <c r="M32" s="1">
        <v>31162.911191169871</v>
      </c>
      <c r="N32" s="1"/>
      <c r="O32" s="1">
        <v>0</v>
      </c>
      <c r="P32" s="1">
        <v>15804.529207035057</v>
      </c>
      <c r="Q32" s="1"/>
      <c r="R32" s="1">
        <v>7066.9413004454482</v>
      </c>
      <c r="S32" s="1">
        <v>47566.133549440543</v>
      </c>
      <c r="T32" s="31">
        <v>0</v>
      </c>
      <c r="U32" s="8"/>
      <c r="V32" s="8">
        <v>0</v>
      </c>
      <c r="W32" s="8"/>
      <c r="X32" s="8">
        <v>1804.6827194475134</v>
      </c>
      <c r="Y32" s="32">
        <f t="shared" si="0"/>
        <v>798129.31397244043</v>
      </c>
      <c r="Z32" s="17"/>
      <c r="AA32" s="17"/>
      <c r="AB32" s="17"/>
      <c r="AC32" s="18"/>
      <c r="AD32" s="18"/>
    </row>
    <row r="33" spans="2:30" x14ac:dyDescent="0.3">
      <c r="B33" s="19">
        <v>26</v>
      </c>
      <c r="C33" s="33" t="s">
        <v>39</v>
      </c>
      <c r="D33" s="6">
        <v>295924.69465959357</v>
      </c>
      <c r="E33" s="6"/>
      <c r="F33" s="6"/>
      <c r="G33" s="6"/>
      <c r="H33" s="1">
        <v>0</v>
      </c>
      <c r="I33" s="1">
        <v>85114.21725018385</v>
      </c>
      <c r="J33" s="1"/>
      <c r="K33" s="1">
        <v>16657.684260427086</v>
      </c>
      <c r="L33" s="1">
        <v>3777.7796159999998</v>
      </c>
      <c r="M33" s="1">
        <f>16087.5997278559+3689</f>
        <v>19776.599727855901</v>
      </c>
      <c r="N33" s="1"/>
      <c r="O33" s="1">
        <v>0</v>
      </c>
      <c r="P33" s="1">
        <v>6246.6208413315708</v>
      </c>
      <c r="Q33" s="1"/>
      <c r="R33" s="1">
        <v>7678.9625969025792</v>
      </c>
      <c r="S33" s="1">
        <v>17241.754106893139</v>
      </c>
      <c r="T33" s="31">
        <v>0</v>
      </c>
      <c r="U33" s="8"/>
      <c r="V33" s="8">
        <v>38000</v>
      </c>
      <c r="W33" s="8"/>
      <c r="X33" s="8">
        <v>8500.7435824610857</v>
      </c>
      <c r="Y33" s="32">
        <f t="shared" si="0"/>
        <v>498919.05664164876</v>
      </c>
      <c r="Z33" s="17"/>
      <c r="AA33" s="17"/>
      <c r="AB33" s="17"/>
      <c r="AC33" s="18"/>
      <c r="AD33" s="18"/>
    </row>
    <row r="34" spans="2:30" x14ac:dyDescent="0.3">
      <c r="B34" s="19">
        <v>27</v>
      </c>
      <c r="C34" s="33" t="s">
        <v>40</v>
      </c>
      <c r="D34" s="6">
        <v>168658.93798072837</v>
      </c>
      <c r="E34" s="6"/>
      <c r="F34" s="6"/>
      <c r="G34" s="6"/>
      <c r="H34" s="1">
        <v>0</v>
      </c>
      <c r="I34" s="1">
        <v>61518.5810138874</v>
      </c>
      <c r="J34" s="1"/>
      <c r="K34" s="1">
        <v>18655.050309036982</v>
      </c>
      <c r="L34" s="1">
        <v>7243.3044319999999</v>
      </c>
      <c r="M34" s="1">
        <v>15195.309911634507</v>
      </c>
      <c r="N34" s="1"/>
      <c r="O34" s="1">
        <v>2649.709489875363</v>
      </c>
      <c r="P34" s="1">
        <v>1535.216066867921</v>
      </c>
      <c r="Q34" s="1"/>
      <c r="R34" s="1">
        <v>2173.9382436351034</v>
      </c>
      <c r="S34" s="1">
        <v>14155.330860913817</v>
      </c>
      <c r="T34" s="31">
        <v>0</v>
      </c>
      <c r="U34" s="8"/>
      <c r="V34" s="8">
        <v>0</v>
      </c>
      <c r="W34" s="8"/>
      <c r="X34" s="8">
        <v>19098.538810474576</v>
      </c>
      <c r="Y34" s="32">
        <f t="shared" si="0"/>
        <v>310883.91711905401</v>
      </c>
      <c r="Z34" s="17"/>
      <c r="AA34" s="17"/>
      <c r="AB34" s="17"/>
      <c r="AC34" s="18"/>
      <c r="AD34" s="18"/>
    </row>
    <row r="35" spans="2:30" x14ac:dyDescent="0.3">
      <c r="B35" s="19">
        <v>28</v>
      </c>
      <c r="C35" s="33" t="s">
        <v>41</v>
      </c>
      <c r="D35" s="6">
        <v>329777.97414146084</v>
      </c>
      <c r="E35" s="6"/>
      <c r="F35" s="6"/>
      <c r="G35" s="6"/>
      <c r="H35" s="1">
        <v>19643.828673203945</v>
      </c>
      <c r="I35" s="1">
        <v>92433.254922777676</v>
      </c>
      <c r="J35" s="1"/>
      <c r="K35" s="1">
        <v>31764.092648470294</v>
      </c>
      <c r="L35" s="1">
        <v>5131.7335680000006</v>
      </c>
      <c r="M35" s="1">
        <f>48828.1331617759+8000</f>
        <v>56828.133161775899</v>
      </c>
      <c r="N35" s="1"/>
      <c r="O35" s="1">
        <v>2524.6205441048764</v>
      </c>
      <c r="P35" s="1">
        <f>10958.6745451209+1000</f>
        <v>11958.674545120901</v>
      </c>
      <c r="Q35" s="1"/>
      <c r="R35" s="1">
        <v>20749.116770159857</v>
      </c>
      <c r="S35" s="1">
        <v>6576.1543922526525</v>
      </c>
      <c r="T35" s="31">
        <v>0</v>
      </c>
      <c r="U35" s="8"/>
      <c r="V35" s="8">
        <v>0</v>
      </c>
      <c r="W35" s="8"/>
      <c r="X35" s="8">
        <v>16617.879599935441</v>
      </c>
      <c r="Y35" s="32">
        <f t="shared" si="0"/>
        <v>594005.46296726237</v>
      </c>
      <c r="Z35" s="17"/>
      <c r="AA35" s="17"/>
      <c r="AB35" s="17"/>
      <c r="AC35" s="18"/>
      <c r="AD35" s="3"/>
    </row>
    <row r="36" spans="2:30" x14ac:dyDescent="0.3">
      <c r="B36" s="19">
        <v>29</v>
      </c>
      <c r="C36" s="33" t="s">
        <v>42</v>
      </c>
      <c r="D36" s="6">
        <v>234267.53936922975</v>
      </c>
      <c r="E36" s="6"/>
      <c r="F36" s="6"/>
      <c r="G36" s="6"/>
      <c r="H36" s="1">
        <v>0</v>
      </c>
      <c r="I36" s="1">
        <v>85705.435025628394</v>
      </c>
      <c r="J36" s="1"/>
      <c r="K36" s="1">
        <f>18674.7106606531+5000</f>
        <v>23674.710660653102</v>
      </c>
      <c r="L36" s="1">
        <v>15894.353124000001</v>
      </c>
      <c r="M36" s="1">
        <f>14542.1744232223+2000</f>
        <v>16542.174423222299</v>
      </c>
      <c r="N36" s="1"/>
      <c r="O36" s="1">
        <v>0</v>
      </c>
      <c r="P36" s="1">
        <v>2957.7179997918984</v>
      </c>
      <c r="Q36" s="1"/>
      <c r="R36" s="1">
        <v>4179.9197231889739</v>
      </c>
      <c r="S36" s="1">
        <v>21605.299251190547</v>
      </c>
      <c r="T36" s="31">
        <v>0</v>
      </c>
      <c r="U36" s="8"/>
      <c r="V36" s="8">
        <v>10000</v>
      </c>
      <c r="W36" s="8"/>
      <c r="X36" s="8">
        <v>4573.5979898241403</v>
      </c>
      <c r="Y36" s="32">
        <f t="shared" si="0"/>
        <v>419400.74756672909</v>
      </c>
      <c r="Z36" s="17"/>
      <c r="AA36" s="17"/>
      <c r="AB36" s="17"/>
      <c r="AC36" s="18"/>
      <c r="AD36" s="18"/>
    </row>
    <row r="37" spans="2:30" x14ac:dyDescent="0.3">
      <c r="B37" s="19">
        <v>30</v>
      </c>
      <c r="C37" s="33" t="s">
        <v>43</v>
      </c>
      <c r="D37" s="6">
        <v>340463.23899499024</v>
      </c>
      <c r="E37" s="6"/>
      <c r="F37" s="6"/>
      <c r="G37" s="6"/>
      <c r="H37" s="1">
        <v>9398.6498618192327</v>
      </c>
      <c r="I37" s="1">
        <v>101850.5617002746</v>
      </c>
      <c r="J37" s="1"/>
      <c r="K37" s="1">
        <v>27731.126022708766</v>
      </c>
      <c r="L37" s="1">
        <f>16396.8584+2000</f>
        <v>18396.858400000001</v>
      </c>
      <c r="M37" s="1">
        <f>31054.6861335372+8000</f>
        <v>39054.686133537201</v>
      </c>
      <c r="N37" s="1"/>
      <c r="O37" s="1">
        <v>0</v>
      </c>
      <c r="P37" s="1">
        <v>8241.8216929088157</v>
      </c>
      <c r="Q37" s="1"/>
      <c r="R37" s="1">
        <v>5589.3128141912675</v>
      </c>
      <c r="S37" s="1">
        <v>23920.116685675042</v>
      </c>
      <c r="T37" s="31">
        <v>0</v>
      </c>
      <c r="U37" s="8"/>
      <c r="V37" s="8">
        <v>7600</v>
      </c>
      <c r="W37" s="8"/>
      <c r="X37" s="8">
        <v>64158.420643846417</v>
      </c>
      <c r="Y37" s="32">
        <f t="shared" si="0"/>
        <v>646404.79294995137</v>
      </c>
      <c r="Z37" s="17"/>
      <c r="AA37" s="17"/>
      <c r="AB37" s="17"/>
      <c r="AC37" s="18"/>
      <c r="AD37" s="18"/>
    </row>
    <row r="38" spans="2:30" x14ac:dyDescent="0.3">
      <c r="B38" s="19">
        <v>31</v>
      </c>
      <c r="C38" s="33" t="s">
        <v>44</v>
      </c>
      <c r="D38" s="6">
        <v>42728.835524652808</v>
      </c>
      <c r="E38" s="6"/>
      <c r="F38" s="6"/>
      <c r="G38" s="6"/>
      <c r="H38" s="1">
        <v>0</v>
      </c>
      <c r="I38" s="1">
        <v>6173.880826559729</v>
      </c>
      <c r="J38" s="1"/>
      <c r="K38" s="1">
        <v>1551.2758723838808</v>
      </c>
      <c r="L38" s="1">
        <v>1191.1529760000001</v>
      </c>
      <c r="M38" s="1">
        <v>13865.830552131147</v>
      </c>
      <c r="N38" s="1"/>
      <c r="O38" s="1">
        <v>0</v>
      </c>
      <c r="P38" s="1">
        <v>2840.8668751339433</v>
      </c>
      <c r="Q38" s="1"/>
      <c r="R38" s="1">
        <v>6858.7532107216202</v>
      </c>
      <c r="S38" s="1">
        <v>2992.5350594500715</v>
      </c>
      <c r="T38" s="31">
        <v>0</v>
      </c>
      <c r="U38" s="8"/>
      <c r="V38" s="8">
        <v>0</v>
      </c>
      <c r="W38" s="8"/>
      <c r="X38" s="8">
        <v>1312.5016603514771</v>
      </c>
      <c r="Y38" s="32">
        <f t="shared" si="0"/>
        <v>79515.632557384699</v>
      </c>
      <c r="Z38" s="17"/>
      <c r="AA38" s="17"/>
      <c r="AB38" s="17"/>
      <c r="AC38" s="18"/>
      <c r="AD38" s="18"/>
    </row>
    <row r="39" spans="2:30" x14ac:dyDescent="0.3">
      <c r="B39" s="19">
        <v>32</v>
      </c>
      <c r="C39" s="33" t="s">
        <v>45</v>
      </c>
      <c r="D39" s="6">
        <v>287603.23010304902</v>
      </c>
      <c r="E39" s="6"/>
      <c r="F39" s="6"/>
      <c r="G39" s="6"/>
      <c r="H39" s="1">
        <v>0</v>
      </c>
      <c r="I39" s="1">
        <v>69972.102043282488</v>
      </c>
      <c r="J39" s="1"/>
      <c r="K39" s="1">
        <v>10103.706178055671</v>
      </c>
      <c r="L39" s="1">
        <v>3283.2708480000001</v>
      </c>
      <c r="M39" s="1">
        <v>14837.05703293755</v>
      </c>
      <c r="N39" s="1"/>
      <c r="O39" s="1">
        <v>0</v>
      </c>
      <c r="P39" s="1">
        <v>9179.1988467583378</v>
      </c>
      <c r="Q39" s="1"/>
      <c r="R39" s="1">
        <v>26011.67183993915</v>
      </c>
      <c r="S39" s="1">
        <v>14155.330860913817</v>
      </c>
      <c r="T39" s="31">
        <v>0</v>
      </c>
      <c r="U39" s="8"/>
      <c r="V39" s="8">
        <v>3400</v>
      </c>
      <c r="W39" s="8"/>
      <c r="X39" s="8">
        <v>4555.3325753722393</v>
      </c>
      <c r="Y39" s="32">
        <f t="shared" si="0"/>
        <v>443100.90032830823</v>
      </c>
      <c r="Z39" s="17"/>
      <c r="AA39" s="17"/>
      <c r="AB39" s="17"/>
      <c r="AC39" s="18"/>
      <c r="AD39" s="18"/>
    </row>
    <row r="40" spans="2:30" x14ac:dyDescent="0.3">
      <c r="B40" s="19">
        <v>33</v>
      </c>
      <c r="C40" s="33" t="s">
        <v>46</v>
      </c>
      <c r="D40" s="6">
        <v>417310.83861227543</v>
      </c>
      <c r="E40" s="6"/>
      <c r="F40" s="6"/>
      <c r="G40" s="6"/>
      <c r="H40" s="1">
        <v>9347.7865802140932</v>
      </c>
      <c r="I40" s="1">
        <v>141464.7104506724</v>
      </c>
      <c r="J40" s="1"/>
      <c r="K40" s="1">
        <v>31279.767943702536</v>
      </c>
      <c r="L40" s="1">
        <v>11837.681232000001</v>
      </c>
      <c r="M40" s="1">
        <v>15606.031381500747</v>
      </c>
      <c r="N40" s="1"/>
      <c r="O40" s="1">
        <v>0</v>
      </c>
      <c r="P40" s="1">
        <v>1816.8448159231821</v>
      </c>
      <c r="Q40" s="1"/>
      <c r="R40" s="1">
        <v>7915.6238210189749</v>
      </c>
      <c r="S40" s="1">
        <v>49109.345172430192</v>
      </c>
      <c r="T40" s="31">
        <v>0</v>
      </c>
      <c r="U40" s="8"/>
      <c r="V40" s="8">
        <v>0</v>
      </c>
      <c r="W40" s="8"/>
      <c r="X40" s="8">
        <v>22695.388943046331</v>
      </c>
      <c r="Y40" s="32">
        <f t="shared" si="0"/>
        <v>708384.01895278378</v>
      </c>
      <c r="Z40" s="17"/>
      <c r="AA40" s="17"/>
      <c r="AB40" s="17"/>
      <c r="AC40" s="18"/>
      <c r="AD40" s="18"/>
    </row>
    <row r="41" spans="2:30" x14ac:dyDescent="0.3">
      <c r="B41" s="19">
        <v>34</v>
      </c>
      <c r="C41" s="33" t="s">
        <v>47</v>
      </c>
      <c r="D41" s="6">
        <v>304519.95666118292</v>
      </c>
      <c r="E41" s="6"/>
      <c r="F41" s="6"/>
      <c r="G41" s="6"/>
      <c r="H41" s="1">
        <v>4252.6126315949141</v>
      </c>
      <c r="I41" s="1">
        <v>54168.379190212399</v>
      </c>
      <c r="J41" s="1">
        <v>6000</v>
      </c>
      <c r="K41" s="1">
        <v>3024.9965129937686</v>
      </c>
      <c r="L41" s="35">
        <v>5478.7380959999991</v>
      </c>
      <c r="M41" s="1">
        <f>20100.1301484268+5000</f>
        <v>25100.130148426801</v>
      </c>
      <c r="N41" s="1">
        <v>4000</v>
      </c>
      <c r="O41" s="1">
        <v>0</v>
      </c>
      <c r="P41" s="1">
        <f>13694.1769119932+4000</f>
        <v>17694.1769119932</v>
      </c>
      <c r="Q41" s="1"/>
      <c r="R41" s="1">
        <v>13945.01975472616</v>
      </c>
      <c r="S41" s="1">
        <f>12878.2089625957+1000</f>
        <v>13878.2089625957</v>
      </c>
      <c r="T41" s="31">
        <v>0</v>
      </c>
      <c r="U41" s="8"/>
      <c r="V41" s="8">
        <v>5400</v>
      </c>
      <c r="W41" s="8"/>
      <c r="X41" s="8">
        <v>8787.4167010295914</v>
      </c>
      <c r="Y41" s="32">
        <f t="shared" si="0"/>
        <v>466249.6355707554</v>
      </c>
      <c r="Z41" s="17"/>
      <c r="AA41" s="17"/>
      <c r="AB41" s="17"/>
      <c r="AC41" s="18"/>
      <c r="AD41" s="18"/>
    </row>
    <row r="42" spans="2:30" x14ac:dyDescent="0.3">
      <c r="B42" s="19">
        <v>35</v>
      </c>
      <c r="C42" s="33" t="s">
        <v>48</v>
      </c>
      <c r="D42" s="6">
        <v>309640.36838198703</v>
      </c>
      <c r="E42" s="6"/>
      <c r="F42" s="6"/>
      <c r="G42" s="6"/>
      <c r="H42" s="1">
        <v>0</v>
      </c>
      <c r="I42" s="1">
        <v>80163.182058261213</v>
      </c>
      <c r="J42" s="1"/>
      <c r="K42" s="1">
        <v>4072.2873289937688</v>
      </c>
      <c r="L42" s="1">
        <v>10731.796847199999</v>
      </c>
      <c r="M42" s="1">
        <v>13865.830552131147</v>
      </c>
      <c r="N42" s="1"/>
      <c r="O42" s="1">
        <v>0</v>
      </c>
      <c r="P42" s="1">
        <v>6038.3806118076973</v>
      </c>
      <c r="Q42" s="1"/>
      <c r="R42" s="1">
        <v>9367.8686861165952</v>
      </c>
      <c r="S42" s="1">
        <v>41659.376782153398</v>
      </c>
      <c r="T42" s="31">
        <v>0</v>
      </c>
      <c r="U42" s="8"/>
      <c r="V42" s="8">
        <v>0</v>
      </c>
      <c r="W42" s="8"/>
      <c r="X42" s="8">
        <v>9548.7604635055941</v>
      </c>
      <c r="Y42" s="32">
        <f t="shared" si="0"/>
        <v>485087.85171215644</v>
      </c>
      <c r="Z42" s="17"/>
      <c r="AA42" s="17"/>
      <c r="AB42" s="17"/>
      <c r="AC42" s="18"/>
      <c r="AD42" s="18"/>
    </row>
    <row r="43" spans="2:30" x14ac:dyDescent="0.3">
      <c r="B43" s="19">
        <v>36</v>
      </c>
      <c r="C43" s="33" t="s">
        <v>49</v>
      </c>
      <c r="D43" s="6">
        <v>164087.02489106017</v>
      </c>
      <c r="E43" s="6"/>
      <c r="F43" s="6"/>
      <c r="G43" s="6"/>
      <c r="H43" s="1">
        <v>0</v>
      </c>
      <c r="I43" s="1">
        <v>60255.835942049904</v>
      </c>
      <c r="J43" s="1"/>
      <c r="K43" s="1">
        <v>15630.053796043207</v>
      </c>
      <c r="L43" s="1">
        <v>7044.2476207999998</v>
      </c>
      <c r="M43" s="1">
        <v>15545.01838324155</v>
      </c>
      <c r="N43" s="1"/>
      <c r="O43" s="1">
        <v>0</v>
      </c>
      <c r="P43" s="1">
        <v>2996.2403485802347</v>
      </c>
      <c r="Q43" s="1"/>
      <c r="R43" s="1">
        <v>7735.4567142980677</v>
      </c>
      <c r="S43" s="1">
        <v>14155.330860913817</v>
      </c>
      <c r="T43" s="31">
        <v>0</v>
      </c>
      <c r="U43" s="8"/>
      <c r="V43" s="8">
        <v>0</v>
      </c>
      <c r="W43" s="8"/>
      <c r="X43" s="8">
        <v>2435.2529379998232</v>
      </c>
      <c r="Y43" s="32">
        <f t="shared" si="0"/>
        <v>289884.46149498672</v>
      </c>
      <c r="Z43" s="17"/>
      <c r="AA43" s="17"/>
      <c r="AB43" s="17"/>
      <c r="AC43" s="18"/>
      <c r="AD43" s="18"/>
    </row>
    <row r="44" spans="2:30" x14ac:dyDescent="0.3">
      <c r="B44" s="19">
        <v>37</v>
      </c>
      <c r="C44" s="33" t="s">
        <v>50</v>
      </c>
      <c r="D44" s="6">
        <v>195015.84970477363</v>
      </c>
      <c r="E44" s="6"/>
      <c r="F44" s="6"/>
      <c r="G44" s="6">
        <v>10000</v>
      </c>
      <c r="H44" s="1">
        <v>12737.934871547945</v>
      </c>
      <c r="I44" s="1">
        <v>56822.102962049903</v>
      </c>
      <c r="J44" s="1"/>
      <c r="K44" s="1">
        <v>18655.050309036982</v>
      </c>
      <c r="L44" s="1">
        <f>6179.7528+1500</f>
        <v>7679.7528000000002</v>
      </c>
      <c r="M44" s="1">
        <f>15002.5803908959+2000</f>
        <v>17002.580390895899</v>
      </c>
      <c r="N44" s="1"/>
      <c r="O44" s="1">
        <v>0</v>
      </c>
      <c r="P44" s="1">
        <f>8467.40386956665+1000</f>
        <v>9467.4038695666495</v>
      </c>
      <c r="Q44" s="1"/>
      <c r="R44" s="1">
        <v>27154.021614071695</v>
      </c>
      <c r="S44" s="1">
        <f>10563.3915281112+2000</f>
        <v>12563.3915281112</v>
      </c>
      <c r="T44" s="31">
        <v>0</v>
      </c>
      <c r="U44" s="8"/>
      <c r="V44" s="8">
        <v>0</v>
      </c>
      <c r="W44" s="8"/>
      <c r="X44" s="8">
        <v>4745.7619269555362</v>
      </c>
      <c r="Y44" s="32">
        <f t="shared" si="0"/>
        <v>371843.84997700941</v>
      </c>
      <c r="Z44" s="17"/>
      <c r="AA44" s="17"/>
      <c r="AB44" s="17"/>
      <c r="AC44" s="18"/>
      <c r="AD44" s="18"/>
    </row>
    <row r="45" spans="2:30" x14ac:dyDescent="0.3">
      <c r="B45" s="19">
        <v>38</v>
      </c>
      <c r="C45" s="33" t="s">
        <v>51</v>
      </c>
      <c r="D45" s="6">
        <v>107766.49821366975</v>
      </c>
      <c r="E45" s="6">
        <v>5000</v>
      </c>
      <c r="F45" s="6"/>
      <c r="G45" s="6"/>
      <c r="H45" s="1">
        <v>0</v>
      </c>
      <c r="I45" s="1">
        <v>32753.161365229898</v>
      </c>
      <c r="J45" s="1"/>
      <c r="K45" s="1">
        <v>5042.0229132197755</v>
      </c>
      <c r="L45" s="1">
        <v>7761.6152640000009</v>
      </c>
      <c r="M45" s="1">
        <f>13865.8305521311+200</f>
        <v>14065.830552131099</v>
      </c>
      <c r="N45" s="1"/>
      <c r="O45" s="1">
        <v>0</v>
      </c>
      <c r="P45" s="1">
        <v>3431.5428898884375</v>
      </c>
      <c r="Q45" s="1"/>
      <c r="R45" s="1">
        <v>4730.1744336770535</v>
      </c>
      <c r="S45" s="1">
        <v>2992.5350594500715</v>
      </c>
      <c r="T45" s="31">
        <v>0</v>
      </c>
      <c r="U45" s="8"/>
      <c r="V45" s="8">
        <v>0</v>
      </c>
      <c r="W45" s="8"/>
      <c r="X45" s="8">
        <v>4006.4889562875578</v>
      </c>
      <c r="Y45" s="32">
        <f t="shared" si="0"/>
        <v>187549.86964755366</v>
      </c>
      <c r="Z45" s="17"/>
      <c r="AA45" s="17"/>
      <c r="AB45" s="17"/>
      <c r="AC45" s="18"/>
      <c r="AD45" s="18"/>
    </row>
    <row r="46" spans="2:30" x14ac:dyDescent="0.3">
      <c r="B46" s="19">
        <v>39</v>
      </c>
      <c r="C46" s="33" t="s">
        <v>52</v>
      </c>
      <c r="D46" s="6">
        <v>207161.56908175652</v>
      </c>
      <c r="E46" s="6"/>
      <c r="F46" s="6"/>
      <c r="G46" s="6">
        <v>10000</v>
      </c>
      <c r="H46" s="1">
        <v>22115.816870524181</v>
      </c>
      <c r="I46" s="1">
        <v>49138.073083109899</v>
      </c>
      <c r="J46" s="1"/>
      <c r="K46" s="1">
        <f>16134.0388524271+1000</f>
        <v>17134.0388524271</v>
      </c>
      <c r="L46" s="1">
        <v>7879.6186560000006</v>
      </c>
      <c r="M46" s="1">
        <f>16826.8512072223+3000</f>
        <v>19826.851207222298</v>
      </c>
      <c r="N46" s="1"/>
      <c r="O46" s="1">
        <v>0</v>
      </c>
      <c r="P46" s="1">
        <f>14099.5300496633+1900</f>
        <v>15999.530049663301</v>
      </c>
      <c r="Q46" s="1"/>
      <c r="R46" s="1">
        <v>20223.852162536594</v>
      </c>
      <c r="S46" s="1">
        <f>14155.3308609138+2000</f>
        <v>16155.3308609138</v>
      </c>
      <c r="T46" s="31">
        <v>0</v>
      </c>
      <c r="U46" s="8"/>
      <c r="V46" s="8">
        <v>0</v>
      </c>
      <c r="W46" s="8"/>
      <c r="X46" s="8">
        <v>11451.867079936044</v>
      </c>
      <c r="Y46" s="32">
        <f t="shared" si="0"/>
        <v>397086.54790408973</v>
      </c>
      <c r="Z46" s="17"/>
      <c r="AA46" s="17"/>
      <c r="AB46" s="17"/>
      <c r="AC46" s="18"/>
      <c r="AD46" s="18"/>
    </row>
    <row r="47" spans="2:30" x14ac:dyDescent="0.3">
      <c r="B47" s="19">
        <v>40</v>
      </c>
      <c r="C47" s="33" t="s">
        <v>53</v>
      </c>
      <c r="D47" s="6">
        <v>134574.8154627156</v>
      </c>
      <c r="E47" s="6">
        <v>5000</v>
      </c>
      <c r="F47" s="6"/>
      <c r="G47" s="6"/>
      <c r="H47" s="1">
        <v>0</v>
      </c>
      <c r="I47" s="1">
        <v>43404.024631272427</v>
      </c>
      <c r="J47" s="1"/>
      <c r="K47" s="1">
        <v>12605.057283049438</v>
      </c>
      <c r="L47" s="1">
        <v>3716.5926720000002</v>
      </c>
      <c r="M47" s="1">
        <f>15545.0183832415+3500</f>
        <v>19045.018383241499</v>
      </c>
      <c r="N47" s="1"/>
      <c r="O47" s="1">
        <v>0</v>
      </c>
      <c r="P47" s="1">
        <v>1144</v>
      </c>
      <c r="Q47" s="1"/>
      <c r="R47" s="1">
        <v>1948.919072132491</v>
      </c>
      <c r="S47" s="1">
        <v>15741.485659606022</v>
      </c>
      <c r="T47" s="31">
        <v>0</v>
      </c>
      <c r="U47" s="8"/>
      <c r="V47" s="8">
        <v>0</v>
      </c>
      <c r="W47" s="8"/>
      <c r="X47" s="8">
        <v>0</v>
      </c>
      <c r="Y47" s="32">
        <f t="shared" si="0"/>
        <v>237179.91316401749</v>
      </c>
      <c r="Z47" s="17"/>
      <c r="AA47" s="17"/>
      <c r="AB47" s="17"/>
      <c r="AC47" s="18"/>
      <c r="AD47" s="18"/>
    </row>
    <row r="48" spans="2:30" x14ac:dyDescent="0.3">
      <c r="B48" s="19">
        <v>41</v>
      </c>
      <c r="C48" s="33" t="s">
        <v>54</v>
      </c>
      <c r="D48" s="6">
        <v>134477.11271438224</v>
      </c>
      <c r="E48" s="6"/>
      <c r="F48" s="6"/>
      <c r="G48" s="6">
        <v>10000</v>
      </c>
      <c r="H48" s="1">
        <v>0</v>
      </c>
      <c r="I48" s="1">
        <v>39941.549576467303</v>
      </c>
      <c r="J48" s="1"/>
      <c r="K48" s="1">
        <v>5061.6832648358941</v>
      </c>
      <c r="L48" s="1">
        <v>4057.7762777760008</v>
      </c>
      <c r="M48" s="1">
        <v>14540.411802185547</v>
      </c>
      <c r="N48" s="1"/>
      <c r="O48" s="1">
        <v>0</v>
      </c>
      <c r="P48" s="1">
        <v>1510.8185793019748</v>
      </c>
      <c r="Q48" s="1"/>
      <c r="R48" s="1">
        <v>4647.3720962733532</v>
      </c>
      <c r="S48" s="1">
        <v>10563.391528111235</v>
      </c>
      <c r="T48" s="31">
        <v>0</v>
      </c>
      <c r="U48" s="8"/>
      <c r="V48" s="8">
        <v>11300</v>
      </c>
      <c r="W48" s="8"/>
      <c r="X48" s="8">
        <v>9821.803165303445</v>
      </c>
      <c r="Y48" s="32">
        <f t="shared" si="0"/>
        <v>245921.91900463699</v>
      </c>
      <c r="Z48" s="17"/>
      <c r="AA48" s="17"/>
      <c r="AB48" s="17"/>
      <c r="AC48" s="18"/>
      <c r="AD48" s="18"/>
    </row>
    <row r="49" spans="2:30" x14ac:dyDescent="0.3">
      <c r="B49" s="19">
        <v>42</v>
      </c>
      <c r="C49" s="33" t="s">
        <v>55</v>
      </c>
      <c r="D49" s="6">
        <v>122059.71961491252</v>
      </c>
      <c r="E49" s="6"/>
      <c r="F49" s="6"/>
      <c r="G49" s="6"/>
      <c r="H49" s="1">
        <v>6634.3410789312238</v>
      </c>
      <c r="I49" s="1">
        <v>22509.744166819964</v>
      </c>
      <c r="J49" s="1"/>
      <c r="K49" s="1">
        <v>5042.0229132197755</v>
      </c>
      <c r="L49" s="1">
        <v>4946.8947944000001</v>
      </c>
      <c r="M49" s="1">
        <f>14412.3549582367+3000</f>
        <v>17412.354958236698</v>
      </c>
      <c r="N49" s="1"/>
      <c r="O49" s="1">
        <v>0</v>
      </c>
      <c r="P49" s="1">
        <v>6079.2750603483719</v>
      </c>
      <c r="Q49" s="1"/>
      <c r="R49" s="1">
        <v>7331.7712178691118</v>
      </c>
      <c r="S49" s="1">
        <v>10563.391528111235</v>
      </c>
      <c r="T49" s="31">
        <v>0</v>
      </c>
      <c r="U49" s="8"/>
      <c r="V49" s="8">
        <v>0</v>
      </c>
      <c r="W49" s="8">
        <v>65000</v>
      </c>
      <c r="X49" s="8">
        <v>1419.6854658069301</v>
      </c>
      <c r="Y49" s="32">
        <f t="shared" si="0"/>
        <v>268999.2007986558</v>
      </c>
      <c r="Z49" s="17"/>
      <c r="AA49" s="17"/>
      <c r="AB49" s="17"/>
      <c r="AC49" s="18"/>
      <c r="AD49" s="18"/>
    </row>
    <row r="50" spans="2:30" x14ac:dyDescent="0.3">
      <c r="B50" s="19">
        <v>43</v>
      </c>
      <c r="C50" s="33" t="s">
        <v>56</v>
      </c>
      <c r="D50" s="6">
        <v>371146.81791550649</v>
      </c>
      <c r="E50" s="6"/>
      <c r="F50" s="6"/>
      <c r="G50" s="6"/>
      <c r="H50" s="1">
        <v>0</v>
      </c>
      <c r="I50" s="1">
        <v>134639.40119073802</v>
      </c>
      <c r="J50" s="1"/>
      <c r="K50" s="1">
        <v>7582.6947214457823</v>
      </c>
      <c r="L50" s="1">
        <v>9930.2168160000001</v>
      </c>
      <c r="M50" s="1">
        <f>14645.3664665081+5000</f>
        <v>19645.366466508101</v>
      </c>
      <c r="N50" s="1"/>
      <c r="O50" s="1">
        <v>0</v>
      </c>
      <c r="P50" s="1">
        <f>13040.7219539672+5000</f>
        <v>18040.721953967201</v>
      </c>
      <c r="Q50" s="1"/>
      <c r="R50" s="1">
        <v>22001.220938221733</v>
      </c>
      <c r="S50" s="1">
        <v>11334.997339606021</v>
      </c>
      <c r="T50" s="31">
        <v>0</v>
      </c>
      <c r="U50" s="8"/>
      <c r="V50" s="8">
        <v>0</v>
      </c>
      <c r="W50" s="8"/>
      <c r="X50" s="8">
        <v>73847.579786601447</v>
      </c>
      <c r="Y50" s="32">
        <f t="shared" si="0"/>
        <v>668169.01712859492</v>
      </c>
      <c r="Z50" s="17"/>
      <c r="AA50" s="17"/>
      <c r="AB50" s="17"/>
      <c r="AC50" s="18"/>
      <c r="AD50" s="18"/>
    </row>
    <row r="51" spans="2:30" x14ac:dyDescent="0.3">
      <c r="B51" s="19">
        <v>44</v>
      </c>
      <c r="C51" s="36" t="s">
        <v>57</v>
      </c>
      <c r="D51" s="6">
        <v>102098.54093808167</v>
      </c>
      <c r="E51" s="6"/>
      <c r="F51" s="6"/>
      <c r="G51" s="6">
        <v>10000</v>
      </c>
      <c r="H51" s="1">
        <v>0</v>
      </c>
      <c r="I51" s="1">
        <v>27558.9149886575</v>
      </c>
      <c r="J51" s="1"/>
      <c r="K51" s="1">
        <v>6935.2718476355367</v>
      </c>
      <c r="L51" s="1">
        <f>4234.046544+1100</f>
        <v>5334.0465439999998</v>
      </c>
      <c r="M51" s="1">
        <f>14407.1871963564+1000</f>
        <v>15407.187196356401</v>
      </c>
      <c r="N51" s="1"/>
      <c r="O51" s="1">
        <v>0</v>
      </c>
      <c r="P51" s="1">
        <f>3681.06968162009+500</f>
        <v>4181.0696816200898</v>
      </c>
      <c r="Q51" s="1"/>
      <c r="R51" s="1">
        <v>3684.1385433376495</v>
      </c>
      <c r="S51" s="1">
        <f>2992.53505945007+800</f>
        <v>3792.5350594500701</v>
      </c>
      <c r="T51" s="31">
        <v>0</v>
      </c>
      <c r="U51" s="8"/>
      <c r="V51" s="8">
        <v>0</v>
      </c>
      <c r="W51" s="8"/>
      <c r="X51" s="8">
        <v>12089.534013424487</v>
      </c>
      <c r="Y51" s="32">
        <f t="shared" si="0"/>
        <v>191081.23881256339</v>
      </c>
      <c r="Z51" s="17"/>
      <c r="AA51" s="17"/>
      <c r="AB51" s="17"/>
      <c r="AC51" s="18"/>
      <c r="AD51" s="18"/>
    </row>
    <row r="52" spans="2:30" x14ac:dyDescent="0.3">
      <c r="B52" s="19">
        <v>45</v>
      </c>
      <c r="C52" s="36" t="s">
        <v>58</v>
      </c>
      <c r="D52" s="6">
        <v>179902.41380416686</v>
      </c>
      <c r="E52" s="6"/>
      <c r="F52" s="6"/>
      <c r="G52" s="6"/>
      <c r="H52" s="1">
        <v>0</v>
      </c>
      <c r="I52" s="1">
        <v>44491.0846488073</v>
      </c>
      <c r="J52" s="1"/>
      <c r="K52" s="1">
        <v>5081.3436164520135</v>
      </c>
      <c r="L52" s="1">
        <f>3080.042784+700</f>
        <v>3780.0427840000002</v>
      </c>
      <c r="M52" s="1">
        <f>14040.6503921311+2300</f>
        <v>16340.6503921311</v>
      </c>
      <c r="N52" s="1"/>
      <c r="O52" s="1">
        <v>0</v>
      </c>
      <c r="P52" s="1">
        <f>6067.71835571187+2000</f>
        <v>8067.7183557118697</v>
      </c>
      <c r="Q52" s="1"/>
      <c r="R52" s="1">
        <v>19823.624891324729</v>
      </c>
      <c r="S52" s="1">
        <f>10563.3915281112+2000</f>
        <v>12563.3915281112</v>
      </c>
      <c r="T52" s="31">
        <v>0</v>
      </c>
      <c r="U52" s="8"/>
      <c r="V52" s="8">
        <v>6400</v>
      </c>
      <c r="W52" s="8"/>
      <c r="X52" s="8">
        <v>2935.6576089837754</v>
      </c>
      <c r="Y52" s="32">
        <f t="shared" si="0"/>
        <v>299385.92762968881</v>
      </c>
      <c r="Z52" s="17"/>
      <c r="AA52" s="17"/>
      <c r="AB52" s="17"/>
      <c r="AC52" s="18"/>
      <c r="AD52" s="18"/>
    </row>
    <row r="53" spans="2:30" x14ac:dyDescent="0.3">
      <c r="B53" s="19">
        <v>46</v>
      </c>
      <c r="C53" s="36" t="s">
        <v>59</v>
      </c>
      <c r="D53" s="6">
        <v>115050.40940578518</v>
      </c>
      <c r="E53" s="6"/>
      <c r="F53" s="6"/>
      <c r="G53" s="6"/>
      <c r="H53" s="1">
        <v>13821.543914440048</v>
      </c>
      <c r="I53" s="1">
        <v>31734.66707576</v>
      </c>
      <c r="J53" s="1"/>
      <c r="K53" s="1">
        <v>12605.057283049438</v>
      </c>
      <c r="L53" s="1">
        <f>7179.696576+500</f>
        <v>7679.6965760000003</v>
      </c>
      <c r="M53" s="1">
        <f>15494.5673878457+4000</f>
        <v>19494.567387845702</v>
      </c>
      <c r="N53" s="1"/>
      <c r="O53" s="1">
        <v>0</v>
      </c>
      <c r="P53" s="1">
        <f>12047.9885404383+1000</f>
        <v>13047.9885404383</v>
      </c>
      <c r="Q53" s="1"/>
      <c r="R53" s="1">
        <v>6944.5120093314526</v>
      </c>
      <c r="S53" s="1">
        <v>2984.2150594500736</v>
      </c>
      <c r="T53" s="31">
        <v>0</v>
      </c>
      <c r="U53" s="8"/>
      <c r="V53" s="8">
        <v>2500</v>
      </c>
      <c r="W53" s="8"/>
      <c r="X53" s="8">
        <v>7293.2337581849442</v>
      </c>
      <c r="Y53" s="32">
        <f t="shared" si="0"/>
        <v>233155.89101028515</v>
      </c>
      <c r="Z53" s="17"/>
      <c r="AA53" s="17"/>
      <c r="AB53" s="17"/>
      <c r="AC53" s="18"/>
      <c r="AD53" s="18"/>
    </row>
    <row r="54" spans="2:30" x14ac:dyDescent="0.3">
      <c r="B54" s="19">
        <v>47</v>
      </c>
      <c r="C54" s="36" t="s">
        <v>60</v>
      </c>
      <c r="D54" s="6">
        <v>36254.72379111679</v>
      </c>
      <c r="E54" s="6">
        <v>5000</v>
      </c>
      <c r="F54" s="6"/>
      <c r="G54" s="6"/>
      <c r="H54" s="1">
        <v>0</v>
      </c>
      <c r="I54" s="1">
        <v>6075.1663765724898</v>
      </c>
      <c r="J54" s="1"/>
      <c r="K54" s="1">
        <v>324.57359999999994</v>
      </c>
      <c r="L54" s="1">
        <v>0</v>
      </c>
      <c r="M54" s="1">
        <f>16876.1209521312+2000</f>
        <v>18876.120952131201</v>
      </c>
      <c r="N54" s="1"/>
      <c r="O54" s="1">
        <v>0</v>
      </c>
      <c r="P54" s="1">
        <v>917.57440796159108</v>
      </c>
      <c r="Q54" s="1"/>
      <c r="R54" s="1">
        <v>334.68899846381629</v>
      </c>
      <c r="S54" s="1">
        <f>2984.21505945007+3000</f>
        <v>5984.2150594500699</v>
      </c>
      <c r="T54" s="31">
        <v>0</v>
      </c>
      <c r="U54" s="8"/>
      <c r="V54" s="8">
        <v>0</v>
      </c>
      <c r="W54" s="8"/>
      <c r="X54" s="8">
        <v>271.41688858592181</v>
      </c>
      <c r="Y54" s="32">
        <f t="shared" si="0"/>
        <v>74038.480074281892</v>
      </c>
      <c r="Z54" s="17"/>
      <c r="AA54" s="17"/>
      <c r="AB54" s="17"/>
      <c r="AC54" s="18"/>
      <c r="AD54" s="18"/>
    </row>
    <row r="55" spans="2:30" x14ac:dyDescent="0.3">
      <c r="B55" s="19">
        <v>48</v>
      </c>
      <c r="C55" s="36" t="s">
        <v>61</v>
      </c>
      <c r="D55" s="6">
        <v>115118.58900310015</v>
      </c>
      <c r="E55" s="6"/>
      <c r="F55" s="6"/>
      <c r="G55" s="6"/>
      <c r="H55" s="1">
        <v>0</v>
      </c>
      <c r="I55" s="1">
        <v>30719.08034275192</v>
      </c>
      <c r="J55" s="1"/>
      <c r="K55" s="1">
        <v>2540.6718082260068</v>
      </c>
      <c r="L55" s="1">
        <v>2436.937152</v>
      </c>
      <c r="M55" s="1">
        <v>13865.830552131147</v>
      </c>
      <c r="N55" s="1"/>
      <c r="O55" s="1">
        <v>0</v>
      </c>
      <c r="P55" s="1">
        <v>1144</v>
      </c>
      <c r="Q55" s="1"/>
      <c r="R55" s="1">
        <v>4256.850857884685</v>
      </c>
      <c r="S55" s="1">
        <v>7347.760203747478</v>
      </c>
      <c r="T55" s="31">
        <v>0</v>
      </c>
      <c r="U55" s="8"/>
      <c r="V55" s="8">
        <v>0</v>
      </c>
      <c r="W55" s="8"/>
      <c r="X55" s="8">
        <v>27051.640978578405</v>
      </c>
      <c r="Y55" s="32">
        <f t="shared" si="0"/>
        <v>204481.36089841981</v>
      </c>
      <c r="Z55" s="17"/>
      <c r="AA55" s="17"/>
      <c r="AB55" s="17"/>
      <c r="AC55" s="18"/>
      <c r="AD55" s="18"/>
    </row>
    <row r="56" spans="2:30" x14ac:dyDescent="0.3">
      <c r="B56" s="19">
        <v>49</v>
      </c>
      <c r="C56" s="36" t="s">
        <v>62</v>
      </c>
      <c r="D56" s="6">
        <v>148325.08493891268</v>
      </c>
      <c r="E56" s="6"/>
      <c r="F56" s="6"/>
      <c r="G56" s="6"/>
      <c r="H56" s="1">
        <v>0</v>
      </c>
      <c r="I56" s="1">
        <v>32371.610042306751</v>
      </c>
      <c r="J56" s="1"/>
      <c r="K56" s="1">
        <v>6069.6533776036558</v>
      </c>
      <c r="L56" s="1">
        <v>2477.3642399999999</v>
      </c>
      <c r="M56" s="1">
        <v>13275.813592131148</v>
      </c>
      <c r="N56" s="1"/>
      <c r="O56" s="1">
        <v>0</v>
      </c>
      <c r="P56" s="1">
        <v>1486.4210917360283</v>
      </c>
      <c r="Q56" s="1"/>
      <c r="R56" s="1">
        <v>0</v>
      </c>
      <c r="S56" s="1">
        <v>10563.391528111235</v>
      </c>
      <c r="T56" s="31">
        <v>0</v>
      </c>
      <c r="U56" s="8"/>
      <c r="V56" s="8">
        <v>15300</v>
      </c>
      <c r="W56" s="8"/>
      <c r="X56" s="8">
        <v>21618.822865202626</v>
      </c>
      <c r="Y56" s="32">
        <f t="shared" si="0"/>
        <v>251488.16167600409</v>
      </c>
      <c r="Z56" s="17"/>
      <c r="AA56" s="17"/>
      <c r="AB56" s="17"/>
      <c r="AC56" s="18"/>
      <c r="AD56" s="18"/>
    </row>
    <row r="57" spans="2:30" x14ac:dyDescent="0.3">
      <c r="B57" s="19">
        <v>50</v>
      </c>
      <c r="C57" s="36" t="s">
        <v>63</v>
      </c>
      <c r="D57" s="6">
        <v>134872.98304038917</v>
      </c>
      <c r="E57" s="6"/>
      <c r="F57" s="6"/>
      <c r="G57" s="6"/>
      <c r="H57" s="1">
        <v>18566.945815882747</v>
      </c>
      <c r="I57" s="1">
        <v>45796.689438374931</v>
      </c>
      <c r="J57" s="1"/>
      <c r="K57" s="1">
        <v>13109.042339433319</v>
      </c>
      <c r="L57" s="1">
        <v>3795.7115039999999</v>
      </c>
      <c r="M57" s="1">
        <v>18999.091240847305</v>
      </c>
      <c r="N57" s="1"/>
      <c r="O57" s="1">
        <v>0</v>
      </c>
      <c r="P57" s="1">
        <v>2716.1152238847735</v>
      </c>
      <c r="Q57" s="1"/>
      <c r="R57" s="1">
        <v>0</v>
      </c>
      <c r="S57" s="1">
        <v>6576.1543922526525</v>
      </c>
      <c r="T57" s="31">
        <v>0</v>
      </c>
      <c r="U57" s="8"/>
      <c r="V57" s="8">
        <v>0</v>
      </c>
      <c r="W57" s="8"/>
      <c r="X57" s="8">
        <v>7111.932084549373</v>
      </c>
      <c r="Y57" s="32">
        <f t="shared" si="0"/>
        <v>251544.66507961429</v>
      </c>
      <c r="Z57" s="17"/>
      <c r="AA57" s="17"/>
      <c r="AB57" s="17"/>
      <c r="AC57" s="18"/>
      <c r="AD57" s="18"/>
    </row>
    <row r="58" spans="2:30" x14ac:dyDescent="0.3">
      <c r="B58" s="19">
        <v>51</v>
      </c>
      <c r="C58" s="36" t="s">
        <v>64</v>
      </c>
      <c r="D58" s="6">
        <v>176713.91044880793</v>
      </c>
      <c r="E58" s="6"/>
      <c r="F58" s="6"/>
      <c r="G58" s="6"/>
      <c r="H58" s="1">
        <v>0</v>
      </c>
      <c r="I58" s="1">
        <v>28218.4462260412</v>
      </c>
      <c r="J58" s="1"/>
      <c r="K58" s="1">
        <v>4557.6982084520141</v>
      </c>
      <c r="L58" s="1">
        <f>8221.6538872+1800</f>
        <v>10021.6538872</v>
      </c>
      <c r="M58" s="1">
        <f>13865.8305521311+2000</f>
        <v>15865.830552131099</v>
      </c>
      <c r="N58" s="1"/>
      <c r="O58" s="1">
        <v>0</v>
      </c>
      <c r="P58" s="1">
        <v>4766.7274988921845</v>
      </c>
      <c r="Q58" s="1"/>
      <c r="R58" s="1">
        <v>2954.5646509291983</v>
      </c>
      <c r="S58" s="1">
        <f>14155.3308609138+2400</f>
        <v>16555.3308609138</v>
      </c>
      <c r="T58" s="31">
        <v>0</v>
      </c>
      <c r="U58" s="8"/>
      <c r="V58" s="8">
        <v>0</v>
      </c>
      <c r="W58" s="8"/>
      <c r="X58" s="8">
        <v>12558.440565155421</v>
      </c>
      <c r="Y58" s="32">
        <f t="shared" si="0"/>
        <v>272212.60289852286</v>
      </c>
      <c r="Z58" s="17"/>
      <c r="AA58" s="17"/>
      <c r="AB58" s="17"/>
      <c r="AC58" s="18"/>
      <c r="AD58" s="18"/>
    </row>
    <row r="59" spans="2:30" x14ac:dyDescent="0.3">
      <c r="B59" s="19">
        <v>52</v>
      </c>
      <c r="C59" s="36" t="s">
        <v>65</v>
      </c>
      <c r="D59" s="6">
        <v>141939.49543517074</v>
      </c>
      <c r="E59" s="6"/>
      <c r="F59" s="6"/>
      <c r="G59" s="6"/>
      <c r="H59" s="1">
        <v>0</v>
      </c>
      <c r="I59" s="1">
        <v>38495.848251623502</v>
      </c>
      <c r="J59" s="1"/>
      <c r="K59" s="1">
        <v>6555.064257061902</v>
      </c>
      <c r="L59" s="1">
        <v>3131.3961120000004</v>
      </c>
      <c r="M59" s="1">
        <f>13275.8135921311+5000</f>
        <v>18275.8135921311</v>
      </c>
      <c r="N59" s="1"/>
      <c r="O59" s="1">
        <v>0</v>
      </c>
      <c r="P59" s="1">
        <v>935.79199999999992</v>
      </c>
      <c r="Q59" s="1"/>
      <c r="R59" s="1">
        <v>51.338915017741094</v>
      </c>
      <c r="S59" s="1">
        <v>6576.1543922526525</v>
      </c>
      <c r="T59" s="31">
        <v>0</v>
      </c>
      <c r="U59" s="8"/>
      <c r="V59" s="8">
        <v>20000</v>
      </c>
      <c r="W59" s="8"/>
      <c r="X59" s="8">
        <v>1094.2034980122241</v>
      </c>
      <c r="Y59" s="32">
        <f t="shared" si="0"/>
        <v>237055.10645326984</v>
      </c>
      <c r="Z59" s="17"/>
      <c r="AA59" s="17"/>
      <c r="AB59" s="17"/>
      <c r="AC59" s="18"/>
      <c r="AD59" s="18"/>
    </row>
    <row r="60" spans="2:30" x14ac:dyDescent="0.3">
      <c r="B60" s="19">
        <v>53</v>
      </c>
      <c r="C60" s="36" t="s">
        <v>66</v>
      </c>
      <c r="D60" s="6">
        <v>665861.19358967512</v>
      </c>
      <c r="E60" s="6"/>
      <c r="F60" s="6"/>
      <c r="G60" s="6"/>
      <c r="H60" s="1">
        <v>58504.936804554985</v>
      </c>
      <c r="I60" s="1">
        <v>126162.57567434727</v>
      </c>
      <c r="J60" s="1">
        <v>7000</v>
      </c>
      <c r="K60" s="1">
        <v>53445.225645191524</v>
      </c>
      <c r="L60" s="1">
        <v>25910.806896000002</v>
      </c>
      <c r="M60" s="1">
        <f>36893.2031748895+5000</f>
        <v>41893.203174889502</v>
      </c>
      <c r="N60" s="1"/>
      <c r="O60" s="1">
        <v>36651.418484664202</v>
      </c>
      <c r="P60" s="1">
        <v>11865.649422840163</v>
      </c>
      <c r="Q60" s="1"/>
      <c r="R60" s="1">
        <v>20134.523510311719</v>
      </c>
      <c r="S60" s="1">
        <v>29450.565444523283</v>
      </c>
      <c r="T60" s="31">
        <v>0</v>
      </c>
      <c r="U60" s="8"/>
      <c r="V60" s="8">
        <v>15000</v>
      </c>
      <c r="W60" s="8"/>
      <c r="X60" s="8">
        <v>777.59440725690138</v>
      </c>
      <c r="Y60" s="32">
        <f t="shared" si="0"/>
        <v>1092657.6930542549</v>
      </c>
      <c r="Z60" s="17"/>
      <c r="AA60" s="17"/>
      <c r="AB60" s="17"/>
      <c r="AC60" s="18"/>
      <c r="AD60" s="18"/>
    </row>
    <row r="61" spans="2:30" x14ac:dyDescent="0.3">
      <c r="B61" s="19">
        <v>54</v>
      </c>
      <c r="C61" s="36" t="s">
        <v>67</v>
      </c>
      <c r="D61" s="6">
        <v>127428.28423231177</v>
      </c>
      <c r="E61" s="6"/>
      <c r="F61" s="6"/>
      <c r="G61" s="6">
        <v>10000</v>
      </c>
      <c r="H61" s="1">
        <v>11197.662017722749</v>
      </c>
      <c r="I61" s="1">
        <v>36028.529812332439</v>
      </c>
      <c r="J61" s="1"/>
      <c r="K61" s="1">
        <v>11215.79340501753</v>
      </c>
      <c r="L61" s="1">
        <f>6793.1722664+3000</f>
        <v>9793.1722664000008</v>
      </c>
      <c r="M61" s="1">
        <f>14537.301669822+5000</f>
        <v>19537.301669822002</v>
      </c>
      <c r="N61" s="1"/>
      <c r="O61" s="1"/>
      <c r="P61" s="1">
        <f>4529.84543325643+5000</f>
        <v>9529.8454332564288</v>
      </c>
      <c r="Q61" s="1"/>
      <c r="R61" s="1">
        <v>13592.120669123111</v>
      </c>
      <c r="S61" s="1">
        <f>10563.3915281112+5000</f>
        <v>15563.3915281112</v>
      </c>
      <c r="T61" s="31">
        <v>0</v>
      </c>
      <c r="U61" s="8"/>
      <c r="V61" s="8">
        <v>0</v>
      </c>
      <c r="W61" s="8"/>
      <c r="X61" s="8">
        <v>6155.3261962092483</v>
      </c>
      <c r="Y61" s="32">
        <f t="shared" si="0"/>
        <v>270041.42723030649</v>
      </c>
      <c r="Z61" s="17"/>
      <c r="AA61" s="17"/>
      <c r="AB61" s="17"/>
      <c r="AC61" s="18"/>
      <c r="AD61" s="18"/>
    </row>
    <row r="62" spans="2:30" x14ac:dyDescent="0.3">
      <c r="B62" s="19">
        <v>55</v>
      </c>
      <c r="C62" s="36" t="s">
        <v>68</v>
      </c>
      <c r="D62" s="6">
        <v>86776.608960422207</v>
      </c>
      <c r="E62" s="6"/>
      <c r="F62" s="6"/>
      <c r="G62" s="6"/>
      <c r="H62" s="1">
        <v>6800.1996059045023</v>
      </c>
      <c r="I62" s="1">
        <v>33565.570847597446</v>
      </c>
      <c r="J62" s="1"/>
      <c r="K62" s="1">
        <v>8067.0194262135437</v>
      </c>
      <c r="L62" s="1">
        <v>3690.3696959999997</v>
      </c>
      <c r="M62" s="1">
        <v>14412.354958236749</v>
      </c>
      <c r="N62" s="1"/>
      <c r="O62" s="1"/>
      <c r="P62" s="1">
        <v>5302.1881470500621</v>
      </c>
      <c r="Q62" s="1"/>
      <c r="R62" s="1">
        <v>6622.2442071478745</v>
      </c>
      <c r="S62" s="1">
        <v>2988.3750594500716</v>
      </c>
      <c r="T62" s="31">
        <v>0</v>
      </c>
      <c r="U62" s="8"/>
      <c r="V62" s="8">
        <v>0</v>
      </c>
      <c r="W62" s="8"/>
      <c r="X62" s="8">
        <v>6026.1711002325219</v>
      </c>
      <c r="Y62" s="32">
        <f t="shared" si="0"/>
        <v>174251.10200825499</v>
      </c>
      <c r="Z62" s="17"/>
      <c r="AA62" s="17"/>
      <c r="AB62" s="17"/>
      <c r="AC62" s="21"/>
      <c r="AD62" s="18"/>
    </row>
    <row r="63" spans="2:30" x14ac:dyDescent="0.3">
      <c r="B63" s="19">
        <v>56</v>
      </c>
      <c r="C63" s="36" t="s">
        <v>69</v>
      </c>
      <c r="D63" s="6">
        <v>2523450.6500485516</v>
      </c>
      <c r="E63" s="6"/>
      <c r="F63" s="6"/>
      <c r="G63" s="6"/>
      <c r="H63" s="1">
        <v>90859.512522989418</v>
      </c>
      <c r="I63" s="1">
        <v>620015.55258159584</v>
      </c>
      <c r="J63" s="1"/>
      <c r="K63" s="1">
        <v>261173.96285058907</v>
      </c>
      <c r="L63" s="1">
        <v>91644.759231999997</v>
      </c>
      <c r="M63" s="1">
        <v>119613.92913259886</v>
      </c>
      <c r="N63" s="1"/>
      <c r="O63" s="1"/>
      <c r="P63" s="1">
        <v>10353.262009410066</v>
      </c>
      <c r="Q63" s="1"/>
      <c r="R63" s="1">
        <v>21270.058314371843</v>
      </c>
      <c r="S63" s="1">
        <v>22506.113141069804</v>
      </c>
      <c r="T63" s="1">
        <v>32000</v>
      </c>
      <c r="U63" s="8"/>
      <c r="V63" s="8">
        <v>0</v>
      </c>
      <c r="W63" s="8"/>
      <c r="X63" s="8">
        <v>0</v>
      </c>
      <c r="Y63" s="32">
        <f t="shared" si="0"/>
        <v>3792887.7998331762</v>
      </c>
      <c r="Z63" s="17"/>
      <c r="AA63" s="17"/>
      <c r="AB63" s="17"/>
      <c r="AC63" s="21"/>
      <c r="AD63" s="18"/>
    </row>
    <row r="64" spans="2:30" x14ac:dyDescent="0.3">
      <c r="B64" s="19">
        <v>57</v>
      </c>
      <c r="C64" s="36" t="s">
        <v>70</v>
      </c>
      <c r="D64" s="6">
        <v>212843.52388662178</v>
      </c>
      <c r="E64" s="6"/>
      <c r="F64" s="6"/>
      <c r="G64" s="6"/>
      <c r="H64" s="1">
        <v>0</v>
      </c>
      <c r="I64" s="37">
        <v>44046.0298265374</v>
      </c>
      <c r="J64" s="37"/>
      <c r="K64" s="37">
        <v>11596.000995591192</v>
      </c>
      <c r="L64" s="1">
        <v>3738.4451520000002</v>
      </c>
      <c r="M64" s="1">
        <f>15752.2382397631+1700</f>
        <v>17452.238239763101</v>
      </c>
      <c r="N64" s="1"/>
      <c r="O64" s="1"/>
      <c r="P64" s="1">
        <f>13678.3523695775+1900</f>
        <v>15578.3523695775</v>
      </c>
      <c r="Q64" s="1"/>
      <c r="R64" s="1">
        <v>9369.4483970814308</v>
      </c>
      <c r="S64" s="1">
        <f>2984.21505945007+500</f>
        <v>3484.2150594500699</v>
      </c>
      <c r="T64" s="1">
        <v>0</v>
      </c>
      <c r="U64" s="8"/>
      <c r="V64" s="8">
        <v>0</v>
      </c>
      <c r="W64" s="8"/>
      <c r="X64" s="8">
        <v>11879.14866780659</v>
      </c>
      <c r="Y64" s="32">
        <f t="shared" si="0"/>
        <v>329987.40259442903</v>
      </c>
      <c r="Z64" s="17"/>
      <c r="AA64" s="17"/>
      <c r="AB64" s="17"/>
      <c r="AC64" s="22"/>
      <c r="AD64" s="18"/>
    </row>
    <row r="65" spans="2:30" x14ac:dyDescent="0.3">
      <c r="B65" s="19">
        <v>58</v>
      </c>
      <c r="C65" s="36" t="s">
        <v>77</v>
      </c>
      <c r="D65" s="6">
        <v>142829.79224455974</v>
      </c>
      <c r="E65" s="6"/>
      <c r="F65" s="6"/>
      <c r="G65" s="6">
        <v>10000</v>
      </c>
      <c r="H65" s="1">
        <v>0</v>
      </c>
      <c r="I65" s="1">
        <v>48006.476781120473</v>
      </c>
      <c r="J65" s="1"/>
      <c r="K65" s="1">
        <v>523.64540799999997</v>
      </c>
      <c r="L65" s="1">
        <v>1688.5261327999999</v>
      </c>
      <c r="M65" s="1">
        <v>13996.945432131146</v>
      </c>
      <c r="N65" s="1"/>
      <c r="O65" s="1"/>
      <c r="P65" s="1">
        <v>917.57440796159108</v>
      </c>
      <c r="Q65" s="1"/>
      <c r="R65" s="1">
        <v>4049.0878581207003</v>
      </c>
      <c r="S65" s="1">
        <v>19685.779619762056</v>
      </c>
      <c r="T65" s="1">
        <v>0</v>
      </c>
      <c r="U65" s="8"/>
      <c r="V65" s="8">
        <v>0</v>
      </c>
      <c r="W65" s="8"/>
      <c r="X65" s="8">
        <v>30749.14679061991</v>
      </c>
      <c r="Y65" s="32">
        <f t="shared" si="0"/>
        <v>272446.97467507562</v>
      </c>
      <c r="Z65" s="17"/>
      <c r="AA65" s="17"/>
      <c r="AB65" s="17"/>
      <c r="AC65" s="22"/>
      <c r="AD65" s="18"/>
    </row>
    <row r="66" spans="2:30" x14ac:dyDescent="0.3">
      <c r="B66" s="19">
        <v>59</v>
      </c>
      <c r="C66" s="36" t="s">
        <v>71</v>
      </c>
      <c r="D66" s="6">
        <v>230732.42743519301</v>
      </c>
      <c r="E66" s="6"/>
      <c r="F66" s="6"/>
      <c r="G66" s="6"/>
      <c r="H66" s="1">
        <v>8813.075028305564</v>
      </c>
      <c r="I66" s="1">
        <v>40684.970484169942</v>
      </c>
      <c r="J66" s="1"/>
      <c r="K66" s="1">
        <v>1047.2908159999999</v>
      </c>
      <c r="L66" s="1">
        <v>2456.6043839999998</v>
      </c>
      <c r="M66" s="1">
        <v>13275.813592131148</v>
      </c>
      <c r="N66" s="1"/>
      <c r="O66" s="1">
        <v>19957.599999999999</v>
      </c>
      <c r="P66" s="1">
        <v>6944.0714112340092</v>
      </c>
      <c r="Q66" s="1"/>
      <c r="R66" s="1">
        <v>6134.4416388505579</v>
      </c>
      <c r="S66" s="1">
        <v>12878.208962595729</v>
      </c>
      <c r="T66" s="1">
        <v>0</v>
      </c>
      <c r="U66" s="8"/>
      <c r="V66" s="8">
        <v>2100</v>
      </c>
      <c r="W66" s="8"/>
      <c r="X66" s="8">
        <v>2212.96525183412</v>
      </c>
      <c r="Y66" s="32">
        <f t="shared" si="0"/>
        <v>347237.4690043141</v>
      </c>
      <c r="Z66" s="17"/>
      <c r="AA66" s="17"/>
      <c r="AB66" s="17"/>
      <c r="AC66" s="22"/>
      <c r="AD66" s="18"/>
    </row>
    <row r="67" spans="2:30" x14ac:dyDescent="0.3">
      <c r="B67" s="19">
        <v>60</v>
      </c>
      <c r="C67" s="36" t="s">
        <v>72</v>
      </c>
      <c r="D67" s="6">
        <v>565116.59779851709</v>
      </c>
      <c r="E67" s="6"/>
      <c r="F67" s="6"/>
      <c r="G67" s="6"/>
      <c r="H67" s="1">
        <v>26042.105905344499</v>
      </c>
      <c r="I67" s="1">
        <v>209457.02827031966</v>
      </c>
      <c r="J67" s="1"/>
      <c r="K67" s="1">
        <v>66049.196753550466</v>
      </c>
      <c r="L67" s="1">
        <v>33264.354947200001</v>
      </c>
      <c r="M67" s="1">
        <f>36796.2539917951+7000</f>
        <v>43796.2539917951</v>
      </c>
      <c r="N67" s="1"/>
      <c r="O67" s="1"/>
      <c r="P67" s="1">
        <v>6278.7227986551834</v>
      </c>
      <c r="Q67" s="1"/>
      <c r="R67" s="1">
        <v>2920.4843081124259</v>
      </c>
      <c r="S67" s="1">
        <v>41600.017385951389</v>
      </c>
      <c r="T67" s="1">
        <v>0</v>
      </c>
      <c r="U67" s="8"/>
      <c r="V67" s="8">
        <v>0</v>
      </c>
      <c r="W67" s="8"/>
      <c r="X67" s="8">
        <v>26541.30095307187</v>
      </c>
      <c r="Y67" s="32">
        <f t="shared" si="0"/>
        <v>1021066.0631125177</v>
      </c>
      <c r="Z67" s="23"/>
      <c r="AA67" s="23"/>
      <c r="AB67" s="17"/>
      <c r="AC67" s="22"/>
      <c r="AD67" s="18"/>
    </row>
    <row r="68" spans="2:30" ht="15" thickBot="1" x14ac:dyDescent="0.35">
      <c r="B68" s="24">
        <v>61</v>
      </c>
      <c r="C68" s="36" t="s">
        <v>73</v>
      </c>
      <c r="D68" s="6">
        <v>125574.35352354964</v>
      </c>
      <c r="E68" s="6"/>
      <c r="F68" s="6"/>
      <c r="G68" s="6"/>
      <c r="H68" s="1">
        <v>0</v>
      </c>
      <c r="I68" s="1">
        <v>44043.832815315531</v>
      </c>
      <c r="J68" s="1"/>
      <c r="K68" s="1">
        <v>2540.6718082260068</v>
      </c>
      <c r="L68" s="1">
        <v>5273.3612047999995</v>
      </c>
      <c r="M68" s="1">
        <v>13275.813592131148</v>
      </c>
      <c r="N68" s="1"/>
      <c r="O68" s="1"/>
      <c r="P68" s="1">
        <v>932.21600000000001</v>
      </c>
      <c r="Q68" s="1"/>
      <c r="R68" s="1">
        <v>525.01090671884128</v>
      </c>
      <c r="S68" s="1">
        <v>10563.391528111235</v>
      </c>
      <c r="T68" s="1">
        <v>0</v>
      </c>
      <c r="U68" s="8"/>
      <c r="V68" s="8">
        <v>22600</v>
      </c>
      <c r="W68" s="8"/>
      <c r="X68" s="8">
        <v>79300.747003285622</v>
      </c>
      <c r="Y68" s="32">
        <f t="shared" si="0"/>
        <v>304629.398382138</v>
      </c>
      <c r="Z68" s="23"/>
      <c r="AA68" s="23"/>
      <c r="AB68" s="17"/>
      <c r="AC68" s="22"/>
      <c r="AD68" s="18"/>
    </row>
    <row r="69" spans="2:30" ht="15" thickBot="1" x14ac:dyDescent="0.35">
      <c r="B69" s="40" t="s">
        <v>2</v>
      </c>
      <c r="C69" s="41"/>
      <c r="D69" s="2">
        <f t="shared" ref="D69:V69" si="1">SUM(D8:D68)</f>
        <v>16591943.97247</v>
      </c>
      <c r="E69" s="2">
        <f t="shared" si="1"/>
        <v>23000</v>
      </c>
      <c r="F69" s="2">
        <f>SUM(F8:F68)</f>
        <v>10000</v>
      </c>
      <c r="G69" s="2">
        <f t="shared" si="1"/>
        <v>70000</v>
      </c>
      <c r="H69" s="2">
        <f>SUM(H8:H68)</f>
        <v>524974.69862914877</v>
      </c>
      <c r="I69" s="2">
        <f>SUM(I8:I68)</f>
        <v>4532237.8596681925</v>
      </c>
      <c r="J69" s="2">
        <f>SUM(J8:J68)</f>
        <v>38000</v>
      </c>
      <c r="K69" s="2">
        <f t="shared" si="1"/>
        <v>1135242.2916480002</v>
      </c>
      <c r="L69" s="2">
        <f t="shared" si="1"/>
        <v>520822.33804956806</v>
      </c>
      <c r="M69" s="2">
        <f t="shared" si="1"/>
        <v>1378149.3030372155</v>
      </c>
      <c r="N69" s="2">
        <f t="shared" si="1"/>
        <v>10000</v>
      </c>
      <c r="O69" s="2">
        <f t="shared" si="1"/>
        <v>134140.28728532698</v>
      </c>
      <c r="P69" s="2">
        <f t="shared" si="1"/>
        <v>409596.7858686723</v>
      </c>
      <c r="Q69" s="2">
        <f t="shared" si="1"/>
        <v>5000</v>
      </c>
      <c r="R69" s="2">
        <f t="shared" si="1"/>
        <v>564582.35194415355</v>
      </c>
      <c r="S69" s="2">
        <f t="shared" si="1"/>
        <v>966310.49253373197</v>
      </c>
      <c r="T69" s="2">
        <f t="shared" si="1"/>
        <v>32000</v>
      </c>
      <c r="U69" s="2">
        <f t="shared" si="1"/>
        <v>50000</v>
      </c>
      <c r="V69" s="2">
        <f t="shared" si="1"/>
        <v>500000</v>
      </c>
      <c r="W69" s="2">
        <f>SUM(W8:W68)</f>
        <v>165000</v>
      </c>
      <c r="X69" s="2">
        <f>SUM(X8:X68)</f>
        <v>981589.60296604759</v>
      </c>
      <c r="Y69" s="2">
        <f>SUM(Y8:Y68)</f>
        <v>28642589.984100051</v>
      </c>
      <c r="Z69" s="4"/>
      <c r="AA69" s="4"/>
      <c r="AB69" s="25"/>
      <c r="AC69" s="25"/>
    </row>
    <row r="70" spans="2:30" x14ac:dyDescent="0.3">
      <c r="Y70" s="17"/>
      <c r="Z70" s="26"/>
      <c r="AA70" s="26"/>
      <c r="AB70" s="27"/>
      <c r="AC70" s="26"/>
    </row>
    <row r="71" spans="2:30" x14ac:dyDescent="0.3">
      <c r="C71" s="26" t="s">
        <v>91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6"/>
      <c r="AA71" s="26"/>
      <c r="AB71" s="27"/>
      <c r="AC71" s="26"/>
    </row>
    <row r="72" spans="2:30" x14ac:dyDescent="0.3">
      <c r="C72" s="22"/>
      <c r="D72" s="23"/>
      <c r="E72" s="22"/>
      <c r="F72" s="23"/>
      <c r="G72" s="22"/>
      <c r="H72" s="23"/>
      <c r="I72" s="22"/>
      <c r="J72" s="23"/>
      <c r="K72" s="22"/>
      <c r="L72" s="23"/>
      <c r="M72" s="22"/>
      <c r="N72" s="23"/>
      <c r="O72" s="22"/>
      <c r="P72" s="23"/>
      <c r="Q72" s="22"/>
      <c r="R72" s="23"/>
      <c r="S72" s="22"/>
      <c r="T72" s="23"/>
      <c r="U72" s="22"/>
      <c r="V72" s="23"/>
      <c r="W72" s="22"/>
      <c r="X72" s="23"/>
      <c r="Y72" s="22"/>
      <c r="Z72" s="23"/>
      <c r="AA72" s="22"/>
      <c r="AB72" s="23"/>
      <c r="AC72" s="26"/>
    </row>
    <row r="73" spans="2:30" x14ac:dyDescent="0.3">
      <c r="C73" s="22"/>
      <c r="D73" s="23"/>
      <c r="E73" s="22"/>
      <c r="F73" s="23"/>
      <c r="G73" s="22"/>
      <c r="H73" s="23"/>
      <c r="I73" s="22"/>
      <c r="J73" s="23"/>
      <c r="K73" s="22"/>
      <c r="L73" s="23"/>
      <c r="M73" s="22"/>
      <c r="N73" s="23"/>
      <c r="O73" s="22"/>
      <c r="P73" s="23"/>
      <c r="Q73" s="22"/>
      <c r="R73" s="23"/>
      <c r="S73" s="22"/>
      <c r="T73" s="23"/>
      <c r="U73" s="22"/>
      <c r="V73" s="23"/>
      <c r="W73" s="22"/>
      <c r="X73" s="23"/>
      <c r="Y73" s="22"/>
      <c r="Z73" s="23"/>
      <c r="AA73" s="22"/>
      <c r="AB73" s="23"/>
      <c r="AC73" s="26"/>
    </row>
    <row r="74" spans="2:30" x14ac:dyDescent="0.3"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2"/>
      <c r="AB74" s="23"/>
      <c r="AC74" s="26"/>
    </row>
    <row r="75" spans="2:30" x14ac:dyDescent="0.3">
      <c r="C75" s="26"/>
      <c r="D75" s="23"/>
      <c r="E75" s="26"/>
      <c r="F75" s="23"/>
      <c r="G75" s="26"/>
      <c r="H75" s="23"/>
      <c r="I75" s="26"/>
      <c r="J75" s="23"/>
      <c r="K75" s="26"/>
      <c r="L75" s="23"/>
      <c r="M75" s="26"/>
      <c r="N75" s="23"/>
      <c r="O75" s="26"/>
      <c r="P75" s="23"/>
      <c r="Q75" s="26"/>
      <c r="R75" s="23"/>
      <c r="S75" s="26"/>
      <c r="T75" s="23"/>
      <c r="U75" s="26"/>
      <c r="V75" s="23"/>
      <c r="W75" s="26"/>
      <c r="X75" s="23"/>
      <c r="Y75" s="26"/>
      <c r="Z75" s="23"/>
      <c r="AA75" s="22"/>
      <c r="AB75" s="23"/>
      <c r="AC75" s="26"/>
    </row>
    <row r="76" spans="2:30" x14ac:dyDescent="0.3">
      <c r="C76" s="26"/>
      <c r="D76" s="23"/>
      <c r="E76" s="26"/>
      <c r="F76" s="23"/>
      <c r="G76" s="23"/>
      <c r="H76" s="23"/>
      <c r="I76" s="26"/>
      <c r="J76" s="23"/>
      <c r="K76" s="26"/>
      <c r="L76" s="23"/>
      <c r="M76" s="26"/>
      <c r="N76" s="23"/>
      <c r="O76" s="26"/>
      <c r="P76" s="23"/>
      <c r="Q76" s="26"/>
      <c r="R76" s="23"/>
      <c r="S76" s="26"/>
      <c r="T76" s="23"/>
      <c r="U76" s="26"/>
      <c r="V76" s="23"/>
      <c r="W76" s="26"/>
      <c r="X76" s="23"/>
      <c r="Y76" s="26"/>
      <c r="Z76" s="23"/>
      <c r="AA76" s="22"/>
      <c r="AB76" s="23"/>
      <c r="AC76" s="26"/>
    </row>
    <row r="77" spans="2:30" x14ac:dyDescent="0.3">
      <c r="C77" s="26"/>
      <c r="D77" s="23"/>
      <c r="E77" s="26"/>
      <c r="F77" s="23"/>
      <c r="G77" s="26"/>
      <c r="H77" s="23"/>
      <c r="I77" s="26"/>
      <c r="J77" s="23"/>
      <c r="K77" s="26"/>
      <c r="L77" s="23"/>
      <c r="M77" s="26"/>
      <c r="N77" s="23"/>
      <c r="O77" s="26"/>
      <c r="P77" s="23"/>
      <c r="Q77" s="26"/>
      <c r="R77" s="23"/>
      <c r="S77" s="26"/>
      <c r="T77" s="23"/>
      <c r="U77" s="26"/>
      <c r="V77" s="23"/>
      <c r="W77" s="26"/>
      <c r="X77" s="23"/>
      <c r="Y77" s="26"/>
      <c r="Z77" s="23"/>
      <c r="AA77" s="23"/>
      <c r="AB77" s="23"/>
      <c r="AC77" s="26"/>
    </row>
    <row r="78" spans="2:30" x14ac:dyDescent="0.3">
      <c r="C78" s="26"/>
      <c r="D78" s="23"/>
      <c r="E78" s="26"/>
      <c r="F78" s="23"/>
      <c r="G78" s="26"/>
      <c r="H78" s="23"/>
      <c r="I78" s="26"/>
      <c r="J78" s="23"/>
      <c r="K78" s="26"/>
      <c r="L78" s="23"/>
      <c r="M78" s="26"/>
      <c r="N78" s="23"/>
      <c r="O78" s="26"/>
      <c r="P78" s="23"/>
      <c r="Q78" s="26"/>
      <c r="R78" s="23"/>
      <c r="S78" s="26"/>
      <c r="T78" s="23"/>
      <c r="U78" s="26"/>
      <c r="V78" s="23"/>
      <c r="W78" s="26"/>
      <c r="X78" s="23"/>
      <c r="Y78" s="26"/>
      <c r="Z78" s="23"/>
      <c r="AA78" s="26"/>
      <c r="AB78" s="23"/>
      <c r="AC78" s="26"/>
    </row>
    <row r="79" spans="2:30" x14ac:dyDescent="0.3">
      <c r="C79" s="26"/>
      <c r="D79" s="23"/>
      <c r="E79" s="26"/>
      <c r="F79" s="23"/>
      <c r="G79" s="26"/>
      <c r="H79" s="23"/>
      <c r="I79" s="26"/>
      <c r="J79" s="23"/>
      <c r="K79" s="26"/>
      <c r="L79" s="23"/>
      <c r="M79" s="26"/>
      <c r="N79" s="23"/>
      <c r="O79" s="26"/>
      <c r="P79" s="23"/>
      <c r="Q79" s="26"/>
      <c r="R79" s="23"/>
      <c r="S79" s="26"/>
      <c r="T79" s="23"/>
      <c r="U79" s="26"/>
      <c r="V79" s="23"/>
      <c r="W79" s="26"/>
      <c r="X79" s="23"/>
      <c r="Y79" s="26"/>
      <c r="Z79" s="23"/>
      <c r="AA79" s="26"/>
      <c r="AB79" s="23"/>
    </row>
    <row r="80" spans="2:30" x14ac:dyDescent="0.3">
      <c r="C80" s="26"/>
      <c r="E80" s="26"/>
      <c r="G80" s="26"/>
      <c r="I80" s="26"/>
      <c r="K80" s="26"/>
      <c r="M80" s="26"/>
      <c r="O80" s="26"/>
      <c r="Q80" s="26"/>
      <c r="S80" s="26"/>
      <c r="U80" s="26"/>
      <c r="W80" s="26"/>
      <c r="Y80" s="26"/>
      <c r="AA80" s="26"/>
      <c r="AB80" s="23"/>
    </row>
    <row r="81" spans="3:28" x14ac:dyDescent="0.3">
      <c r="C81" s="26"/>
      <c r="E81" s="26"/>
      <c r="G81" s="26"/>
      <c r="I81" s="26"/>
      <c r="K81" s="26"/>
      <c r="M81" s="26"/>
      <c r="O81" s="26"/>
      <c r="Q81" s="26"/>
      <c r="S81" s="26"/>
      <c r="U81" s="26"/>
      <c r="W81" s="26"/>
      <c r="Y81" s="26"/>
      <c r="AA81" s="26"/>
      <c r="AB81" s="23"/>
    </row>
    <row r="82" spans="3:28" x14ac:dyDescent="0.3">
      <c r="C82" s="26"/>
      <c r="E82" s="26"/>
      <c r="G82" s="26"/>
      <c r="I82" s="26"/>
      <c r="K82" s="26"/>
      <c r="M82" s="26"/>
      <c r="O82" s="26"/>
      <c r="Q82" s="26"/>
      <c r="S82" s="26"/>
      <c r="U82" s="26"/>
      <c r="W82" s="26"/>
      <c r="Y82" s="26"/>
      <c r="AA82" s="26"/>
      <c r="AB82" s="23"/>
    </row>
    <row r="83" spans="3:28" x14ac:dyDescent="0.3">
      <c r="C83" s="26"/>
      <c r="E83" s="26"/>
      <c r="G83" s="26"/>
      <c r="I83" s="26"/>
      <c r="K83" s="26"/>
      <c r="M83" s="26"/>
      <c r="O83" s="26"/>
      <c r="Q83" s="26"/>
      <c r="S83" s="26"/>
      <c r="U83" s="26"/>
      <c r="W83" s="26"/>
      <c r="Y83" s="26"/>
      <c r="AA83" s="26"/>
    </row>
    <row r="84" spans="3:28" x14ac:dyDescent="0.3">
      <c r="C84" s="26"/>
      <c r="E84" s="26"/>
      <c r="G84" s="26"/>
      <c r="I84" s="26"/>
      <c r="K84" s="26"/>
      <c r="M84" s="26"/>
      <c r="O84" s="26"/>
      <c r="Q84" s="26"/>
      <c r="S84" s="26"/>
      <c r="U84" s="26"/>
      <c r="W84" s="26"/>
      <c r="Y84" s="26"/>
      <c r="AA84" s="26"/>
    </row>
    <row r="85" spans="3:28" x14ac:dyDescent="0.3">
      <c r="C85" s="22"/>
      <c r="D85" s="23"/>
      <c r="E85" s="22"/>
      <c r="F85" s="23"/>
      <c r="G85" s="22"/>
      <c r="H85" s="23"/>
      <c r="I85" s="22"/>
      <c r="J85" s="23"/>
      <c r="K85" s="22"/>
      <c r="L85" s="23"/>
      <c r="M85" s="22"/>
      <c r="N85" s="23"/>
      <c r="O85" s="22"/>
      <c r="P85" s="23"/>
      <c r="Q85" s="22"/>
      <c r="R85" s="23"/>
      <c r="S85" s="22"/>
      <c r="T85" s="23"/>
      <c r="U85" s="22"/>
      <c r="V85" s="23"/>
      <c r="W85" s="22"/>
      <c r="X85" s="23"/>
      <c r="Y85" s="22"/>
      <c r="Z85" s="23"/>
      <c r="AA85" s="26"/>
    </row>
    <row r="86" spans="3:28" x14ac:dyDescent="0.3">
      <c r="C86" s="22"/>
      <c r="D86" s="23"/>
      <c r="E86" s="22"/>
      <c r="F86" s="23"/>
      <c r="G86" s="22"/>
      <c r="H86" s="23"/>
      <c r="I86" s="22"/>
      <c r="J86" s="23"/>
      <c r="K86" s="22"/>
      <c r="L86" s="23"/>
      <c r="M86" s="22"/>
      <c r="N86" s="23"/>
      <c r="O86" s="22"/>
      <c r="P86" s="23"/>
      <c r="Q86" s="22"/>
      <c r="R86" s="23"/>
      <c r="S86" s="22"/>
      <c r="T86" s="23"/>
      <c r="U86" s="22"/>
      <c r="V86" s="23"/>
      <c r="W86" s="22"/>
      <c r="X86" s="23"/>
      <c r="Y86" s="22"/>
      <c r="Z86" s="23"/>
      <c r="AA86" s="26"/>
    </row>
    <row r="87" spans="3:28" x14ac:dyDescent="0.3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6"/>
    </row>
    <row r="88" spans="3:28" x14ac:dyDescent="0.3">
      <c r="C88" s="26"/>
      <c r="D88" s="23"/>
      <c r="E88" s="26"/>
      <c r="F88" s="23"/>
      <c r="G88" s="26"/>
      <c r="H88" s="23"/>
      <c r="I88" s="26"/>
      <c r="J88" s="23"/>
      <c r="K88" s="26"/>
      <c r="L88" s="23"/>
      <c r="M88" s="26"/>
      <c r="N88" s="23"/>
      <c r="O88" s="26"/>
      <c r="P88" s="23"/>
      <c r="Q88" s="26"/>
      <c r="R88" s="23"/>
      <c r="S88" s="26"/>
      <c r="T88" s="23"/>
      <c r="U88" s="26"/>
      <c r="V88" s="23"/>
      <c r="W88" s="26"/>
      <c r="X88" s="23"/>
      <c r="Y88" s="26"/>
      <c r="Z88" s="23"/>
      <c r="AA88" s="26"/>
    </row>
    <row r="89" spans="3:28" x14ac:dyDescent="0.3">
      <c r="C89" s="26"/>
      <c r="D89" s="23"/>
      <c r="E89" s="26"/>
      <c r="F89" s="23"/>
      <c r="G89" s="26"/>
      <c r="H89" s="23"/>
      <c r="I89" s="26"/>
      <c r="J89" s="23"/>
      <c r="K89" s="26"/>
      <c r="L89" s="23"/>
      <c r="M89" s="26"/>
      <c r="N89" s="23"/>
      <c r="O89" s="26"/>
      <c r="P89" s="23"/>
      <c r="Q89" s="26"/>
      <c r="R89" s="23"/>
      <c r="S89" s="26"/>
      <c r="T89" s="23"/>
      <c r="U89" s="26"/>
      <c r="V89" s="23"/>
      <c r="W89" s="26"/>
      <c r="X89" s="23"/>
      <c r="Y89" s="26"/>
      <c r="Z89" s="23"/>
      <c r="AA89" s="26"/>
    </row>
    <row r="90" spans="3:28" x14ac:dyDescent="0.3">
      <c r="C90" s="26"/>
      <c r="D90" s="23"/>
      <c r="E90" s="26"/>
      <c r="F90" s="23"/>
      <c r="G90" s="26"/>
      <c r="H90" s="23"/>
      <c r="I90" s="26"/>
      <c r="J90" s="23"/>
      <c r="K90" s="26"/>
      <c r="L90" s="23"/>
      <c r="M90" s="26"/>
      <c r="N90" s="23"/>
      <c r="O90" s="26"/>
      <c r="P90" s="23"/>
      <c r="Q90" s="26"/>
      <c r="R90" s="23"/>
      <c r="S90" s="26"/>
      <c r="T90" s="23"/>
      <c r="U90" s="26"/>
      <c r="V90" s="23"/>
      <c r="W90" s="26"/>
      <c r="X90" s="23"/>
      <c r="Y90" s="26"/>
      <c r="Z90" s="23"/>
      <c r="AA90" s="26"/>
    </row>
    <row r="91" spans="3:28" x14ac:dyDescent="0.3">
      <c r="C91" s="26"/>
      <c r="D91" s="23"/>
      <c r="E91" s="26"/>
      <c r="F91" s="23"/>
      <c r="G91" s="26"/>
      <c r="H91" s="23"/>
      <c r="I91" s="26"/>
      <c r="J91" s="23"/>
      <c r="K91" s="26"/>
      <c r="L91" s="23"/>
      <c r="M91" s="26"/>
      <c r="N91" s="23"/>
      <c r="O91" s="26"/>
      <c r="P91" s="23"/>
      <c r="Q91" s="26"/>
      <c r="R91" s="23"/>
      <c r="S91" s="26"/>
      <c r="T91" s="23"/>
      <c r="U91" s="26"/>
      <c r="V91" s="23"/>
      <c r="W91" s="26"/>
      <c r="X91" s="23"/>
      <c r="Y91" s="26"/>
      <c r="Z91" s="23"/>
      <c r="AA91" s="26"/>
    </row>
    <row r="92" spans="3:28" x14ac:dyDescent="0.3">
      <c r="C92" s="26"/>
      <c r="D92" s="23"/>
      <c r="E92" s="26"/>
      <c r="F92" s="23"/>
      <c r="G92" s="26"/>
      <c r="H92" s="23"/>
      <c r="I92" s="26"/>
      <c r="J92" s="23"/>
      <c r="K92" s="26"/>
      <c r="L92" s="23"/>
      <c r="M92" s="26"/>
      <c r="N92" s="23"/>
      <c r="O92" s="26"/>
      <c r="P92" s="23"/>
      <c r="Q92" s="26"/>
      <c r="R92" s="23"/>
      <c r="S92" s="26"/>
      <c r="T92" s="23"/>
      <c r="U92" s="26"/>
      <c r="V92" s="23"/>
      <c r="W92" s="26"/>
      <c r="X92" s="23"/>
      <c r="Y92" s="26"/>
      <c r="Z92" s="23"/>
      <c r="AA92" s="26"/>
    </row>
    <row r="93" spans="3:28" x14ac:dyDescent="0.3">
      <c r="C93" s="26"/>
      <c r="E93" s="26"/>
      <c r="G93" s="26"/>
      <c r="I93" s="26"/>
      <c r="K93" s="26"/>
      <c r="M93" s="26"/>
      <c r="O93" s="26"/>
      <c r="Q93" s="26"/>
      <c r="S93" s="26"/>
      <c r="U93" s="26"/>
      <c r="W93" s="26"/>
      <c r="Y93" s="26"/>
      <c r="AA93" s="26"/>
    </row>
    <row r="94" spans="3:28" x14ac:dyDescent="0.3">
      <c r="C94" s="26"/>
      <c r="E94" s="26"/>
      <c r="G94" s="26"/>
      <c r="I94" s="26"/>
      <c r="K94" s="26"/>
      <c r="M94" s="26"/>
      <c r="O94" s="26"/>
      <c r="Q94" s="26"/>
      <c r="S94" s="26"/>
      <c r="U94" s="26"/>
      <c r="W94" s="26"/>
      <c r="Y94" s="26"/>
      <c r="AA94" s="26"/>
    </row>
    <row r="95" spans="3:28" x14ac:dyDescent="0.3">
      <c r="C95" s="26"/>
      <c r="E95" s="26"/>
      <c r="G95" s="26"/>
      <c r="I95" s="26"/>
      <c r="K95" s="26"/>
      <c r="M95" s="26"/>
      <c r="O95" s="26"/>
      <c r="Q95" s="26"/>
      <c r="S95" s="26"/>
      <c r="U95" s="26"/>
      <c r="W95" s="26"/>
      <c r="Y95" s="26"/>
      <c r="AA95" s="26"/>
    </row>
    <row r="96" spans="3:28" x14ac:dyDescent="0.3">
      <c r="C96" s="26"/>
      <c r="E96" s="26"/>
      <c r="G96" s="26"/>
      <c r="I96" s="26"/>
      <c r="K96" s="26"/>
      <c r="M96" s="26"/>
      <c r="O96" s="26"/>
      <c r="Q96" s="26"/>
      <c r="S96" s="26"/>
      <c r="U96" s="26"/>
      <c r="W96" s="26"/>
      <c r="Y96" s="26"/>
      <c r="AA96" s="26"/>
    </row>
    <row r="97" spans="3:27" x14ac:dyDescent="0.3">
      <c r="C97" s="26"/>
      <c r="E97" s="26"/>
      <c r="G97" s="26"/>
      <c r="I97" s="26"/>
      <c r="K97" s="26"/>
      <c r="M97" s="26"/>
      <c r="O97" s="26"/>
      <c r="Q97" s="26"/>
      <c r="S97" s="26"/>
      <c r="U97" s="26"/>
      <c r="W97" s="26"/>
      <c r="Y97" s="26"/>
      <c r="AA97" s="26"/>
    </row>
    <row r="98" spans="3:27" x14ac:dyDescent="0.3">
      <c r="C98" s="22"/>
      <c r="D98" s="23"/>
      <c r="E98" s="22"/>
      <c r="F98" s="23"/>
      <c r="G98" s="22"/>
      <c r="H98" s="23"/>
      <c r="I98" s="22"/>
      <c r="J98" s="23"/>
      <c r="K98" s="22"/>
      <c r="L98" s="23"/>
      <c r="M98" s="22"/>
      <c r="N98" s="23"/>
      <c r="O98" s="22"/>
      <c r="P98" s="23"/>
      <c r="Q98" s="22"/>
      <c r="R98" s="23"/>
      <c r="S98" s="22"/>
      <c r="T98" s="23"/>
      <c r="U98" s="22"/>
      <c r="V98" s="23"/>
      <c r="W98" s="22"/>
      <c r="X98" s="23"/>
      <c r="Y98" s="22"/>
      <c r="Z98" s="23"/>
      <c r="AA98" s="26"/>
    </row>
    <row r="99" spans="3:27" x14ac:dyDescent="0.3">
      <c r="C99" s="22"/>
      <c r="D99" s="23"/>
      <c r="E99" s="22"/>
      <c r="F99" s="23"/>
      <c r="G99" s="22"/>
      <c r="H99" s="23"/>
      <c r="I99" s="22"/>
      <c r="J99" s="23"/>
      <c r="K99" s="22"/>
      <c r="L99" s="23"/>
      <c r="M99" s="22"/>
      <c r="N99" s="23"/>
      <c r="O99" s="22"/>
      <c r="P99" s="23"/>
      <c r="Q99" s="22"/>
      <c r="R99" s="23"/>
      <c r="S99" s="22"/>
      <c r="T99" s="23"/>
      <c r="U99" s="22"/>
      <c r="V99" s="23"/>
      <c r="W99" s="22"/>
      <c r="X99" s="23"/>
      <c r="Y99" s="22"/>
      <c r="Z99" s="23"/>
      <c r="AA99" s="26"/>
    </row>
    <row r="100" spans="3:27" x14ac:dyDescent="0.3"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6"/>
    </row>
    <row r="101" spans="3:27" x14ac:dyDescent="0.3">
      <c r="C101" s="26"/>
      <c r="D101" s="23"/>
      <c r="E101" s="26"/>
      <c r="F101" s="23"/>
      <c r="G101" s="26"/>
      <c r="H101" s="23"/>
      <c r="I101" s="26"/>
      <c r="J101" s="23"/>
      <c r="K101" s="26"/>
      <c r="L101" s="23"/>
      <c r="M101" s="26"/>
      <c r="N101" s="23"/>
      <c r="O101" s="26"/>
      <c r="P101" s="23"/>
      <c r="Q101" s="26"/>
      <c r="R101" s="23"/>
      <c r="S101" s="26"/>
      <c r="T101" s="23"/>
      <c r="U101" s="26"/>
      <c r="V101" s="23"/>
      <c r="W101" s="26"/>
      <c r="X101" s="23"/>
      <c r="Y101" s="26"/>
      <c r="Z101" s="23"/>
      <c r="AA101" s="26"/>
    </row>
    <row r="102" spans="3:27" x14ac:dyDescent="0.3">
      <c r="C102" s="26"/>
      <c r="D102" s="23"/>
      <c r="E102" s="26"/>
      <c r="F102" s="23"/>
      <c r="G102" s="26"/>
      <c r="H102" s="23"/>
      <c r="I102" s="26"/>
      <c r="J102" s="23"/>
      <c r="K102" s="26"/>
      <c r="L102" s="23"/>
      <c r="M102" s="26"/>
      <c r="N102" s="23"/>
      <c r="O102" s="26"/>
      <c r="P102" s="23"/>
      <c r="Q102" s="26"/>
      <c r="R102" s="23"/>
      <c r="S102" s="26"/>
      <c r="T102" s="23"/>
      <c r="U102" s="26"/>
      <c r="V102" s="23"/>
      <c r="W102" s="26"/>
      <c r="X102" s="23"/>
      <c r="Y102" s="26"/>
      <c r="Z102" s="23"/>
      <c r="AA102" s="26"/>
    </row>
    <row r="103" spans="3:27" x14ac:dyDescent="0.3">
      <c r="C103" s="26"/>
      <c r="D103" s="23"/>
      <c r="E103" s="26"/>
      <c r="F103" s="23"/>
      <c r="G103" s="26"/>
      <c r="H103" s="23"/>
      <c r="I103" s="26"/>
      <c r="J103" s="23"/>
      <c r="K103" s="26"/>
      <c r="L103" s="23"/>
      <c r="M103" s="26"/>
      <c r="N103" s="23"/>
      <c r="O103" s="26"/>
      <c r="P103" s="23"/>
      <c r="Q103" s="26"/>
      <c r="R103" s="23"/>
      <c r="S103" s="26"/>
      <c r="T103" s="23"/>
      <c r="U103" s="26"/>
      <c r="V103" s="23"/>
      <c r="W103" s="26"/>
      <c r="X103" s="23"/>
      <c r="Y103" s="26"/>
      <c r="Z103" s="23"/>
      <c r="AA103" s="26"/>
    </row>
    <row r="104" spans="3:27" x14ac:dyDescent="0.3">
      <c r="C104" s="26"/>
      <c r="D104" s="23"/>
      <c r="E104" s="26"/>
      <c r="F104" s="23"/>
      <c r="G104" s="26"/>
      <c r="H104" s="23"/>
      <c r="I104" s="26"/>
      <c r="J104" s="23"/>
      <c r="K104" s="26"/>
      <c r="L104" s="23"/>
      <c r="M104" s="26"/>
      <c r="N104" s="23"/>
      <c r="O104" s="26"/>
      <c r="P104" s="23"/>
      <c r="Q104" s="26"/>
      <c r="R104" s="23"/>
      <c r="S104" s="26"/>
      <c r="T104" s="23"/>
      <c r="U104" s="26"/>
      <c r="V104" s="23"/>
      <c r="W104" s="26"/>
      <c r="X104" s="23"/>
      <c r="Y104" s="26"/>
      <c r="Z104" s="23"/>
      <c r="AA104" s="26"/>
    </row>
    <row r="105" spans="3:27" x14ac:dyDescent="0.3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3:27" x14ac:dyDescent="0.3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3:27" x14ac:dyDescent="0.3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3:27" x14ac:dyDescent="0.3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3:27" x14ac:dyDescent="0.3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3:27" x14ac:dyDescent="0.3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3:27" x14ac:dyDescent="0.3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3:27" x14ac:dyDescent="0.3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3:27" x14ac:dyDescent="0.3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3:27" x14ac:dyDescent="0.3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3:27" x14ac:dyDescent="0.3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3:27" x14ac:dyDescent="0.3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3:27" x14ac:dyDescent="0.3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3:27" x14ac:dyDescent="0.3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3:27" x14ac:dyDescent="0.3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3:27" x14ac:dyDescent="0.3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3:27" x14ac:dyDescent="0.3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3:27" x14ac:dyDescent="0.3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3:27" x14ac:dyDescent="0.3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3:27" x14ac:dyDescent="0.3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3:27" x14ac:dyDescent="0.3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3:27" x14ac:dyDescent="0.3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3:27" x14ac:dyDescent="0.3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3:27" x14ac:dyDescent="0.3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3:27" x14ac:dyDescent="0.3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3:27" x14ac:dyDescent="0.3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3:27" x14ac:dyDescent="0.3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3:27" x14ac:dyDescent="0.3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3:27" x14ac:dyDescent="0.3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3:27" x14ac:dyDescent="0.3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3:27" x14ac:dyDescent="0.3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3:27" x14ac:dyDescent="0.3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3:27" x14ac:dyDescent="0.3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3:27" x14ac:dyDescent="0.3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3:27" x14ac:dyDescent="0.3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3:27" x14ac:dyDescent="0.3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3:27" x14ac:dyDescent="0.3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3:27" x14ac:dyDescent="0.3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3:27" x14ac:dyDescent="0.3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3:27" x14ac:dyDescent="0.3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3:27" x14ac:dyDescent="0.3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3:27" x14ac:dyDescent="0.3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3:27" x14ac:dyDescent="0.3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3:27" x14ac:dyDescent="0.3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3:27" x14ac:dyDescent="0.3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3:27" x14ac:dyDescent="0.3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3:27" x14ac:dyDescent="0.3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3:27" x14ac:dyDescent="0.3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3:27" x14ac:dyDescent="0.3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3:27" x14ac:dyDescent="0.3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3:27" x14ac:dyDescent="0.3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3:27" x14ac:dyDescent="0.3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3:27" x14ac:dyDescent="0.3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3:27" x14ac:dyDescent="0.3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3:27" x14ac:dyDescent="0.3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3:27" x14ac:dyDescent="0.3"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3:27" x14ac:dyDescent="0.3"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3:27" x14ac:dyDescent="0.3"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3:27" x14ac:dyDescent="0.3"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3:27" x14ac:dyDescent="0.3"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3:27" x14ac:dyDescent="0.3"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3:27" x14ac:dyDescent="0.3"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3:27" x14ac:dyDescent="0.3"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3:27" x14ac:dyDescent="0.3"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3:27" x14ac:dyDescent="0.3"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3:27" x14ac:dyDescent="0.3"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3:27" x14ac:dyDescent="0.3"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3:27" x14ac:dyDescent="0.3"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3:27" x14ac:dyDescent="0.3"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3:27" x14ac:dyDescent="0.3"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3:27" x14ac:dyDescent="0.3"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3:27" x14ac:dyDescent="0.3"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3:27" x14ac:dyDescent="0.3"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3:27" x14ac:dyDescent="0.3"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3:27" x14ac:dyDescent="0.3"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3:27" x14ac:dyDescent="0.3"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3:27" x14ac:dyDescent="0.3"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3:27" x14ac:dyDescent="0.3"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3:27" x14ac:dyDescent="0.3"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3:27" x14ac:dyDescent="0.3"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3:27" x14ac:dyDescent="0.3"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3:27" x14ac:dyDescent="0.3"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3:27" x14ac:dyDescent="0.3"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3:27" x14ac:dyDescent="0.3"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3:27" x14ac:dyDescent="0.3"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3:27" x14ac:dyDescent="0.3"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3:27" x14ac:dyDescent="0.3"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3:27" x14ac:dyDescent="0.3"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3:27" x14ac:dyDescent="0.3"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3:27" x14ac:dyDescent="0.3"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3:27" x14ac:dyDescent="0.3"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3:27" x14ac:dyDescent="0.3"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3:27" x14ac:dyDescent="0.3"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3:27" x14ac:dyDescent="0.3"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3:27" x14ac:dyDescent="0.3"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3:27" x14ac:dyDescent="0.3"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3:27" x14ac:dyDescent="0.3"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3:27" x14ac:dyDescent="0.3"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3:27" x14ac:dyDescent="0.3"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3:27" x14ac:dyDescent="0.3"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3:27" x14ac:dyDescent="0.3"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3:27" x14ac:dyDescent="0.3"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3:27" x14ac:dyDescent="0.3"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3:27" x14ac:dyDescent="0.3"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3:27" x14ac:dyDescent="0.3"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3:27" x14ac:dyDescent="0.3"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3:27" x14ac:dyDescent="0.3"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3:27" x14ac:dyDescent="0.3"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3:27" x14ac:dyDescent="0.3"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3:27" x14ac:dyDescent="0.3"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3:27" x14ac:dyDescent="0.3"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3:27" x14ac:dyDescent="0.3"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3:27" x14ac:dyDescent="0.3"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3:27" x14ac:dyDescent="0.3"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3:27" x14ac:dyDescent="0.3"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3:27" x14ac:dyDescent="0.3"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3:27" x14ac:dyDescent="0.3"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3:27" x14ac:dyDescent="0.3"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3:27" x14ac:dyDescent="0.3"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3:27" x14ac:dyDescent="0.3"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3:27" x14ac:dyDescent="0.3"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3:27" x14ac:dyDescent="0.3"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3:27" x14ac:dyDescent="0.3"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3:27" x14ac:dyDescent="0.3"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3:27" x14ac:dyDescent="0.3"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3:27" x14ac:dyDescent="0.3"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3:27" x14ac:dyDescent="0.3"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3:27" x14ac:dyDescent="0.3"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3:27" x14ac:dyDescent="0.3"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3:27" x14ac:dyDescent="0.3"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3:27" x14ac:dyDescent="0.3"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3:27" x14ac:dyDescent="0.3"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3:27" x14ac:dyDescent="0.3"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3:27" x14ac:dyDescent="0.3"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3:27" x14ac:dyDescent="0.3"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3:27" x14ac:dyDescent="0.3"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3:27" x14ac:dyDescent="0.3"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3:27" x14ac:dyDescent="0.3"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3:27" x14ac:dyDescent="0.3"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3:27" x14ac:dyDescent="0.3"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3:27" x14ac:dyDescent="0.3"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3:27" x14ac:dyDescent="0.3"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3:27" x14ac:dyDescent="0.3"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3:27" x14ac:dyDescent="0.3"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3:27" x14ac:dyDescent="0.3"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3:27" x14ac:dyDescent="0.3"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3:27" x14ac:dyDescent="0.3"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3:27" x14ac:dyDescent="0.3"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</sheetData>
  <mergeCells count="27">
    <mergeCell ref="U6:U7"/>
    <mergeCell ref="Q6:Q7"/>
    <mergeCell ref="G5:G7"/>
    <mergeCell ref="N6:N7"/>
    <mergeCell ref="X6:X7"/>
    <mergeCell ref="V6:V7"/>
    <mergeCell ref="R6:R7"/>
    <mergeCell ref="T6:T7"/>
    <mergeCell ref="S6:S7"/>
    <mergeCell ref="W5:X5"/>
    <mergeCell ref="W6:W7"/>
    <mergeCell ref="F5:F7"/>
    <mergeCell ref="A2:Y2"/>
    <mergeCell ref="B69:C69"/>
    <mergeCell ref="D5:D7"/>
    <mergeCell ref="R4:Y4"/>
    <mergeCell ref="B5:B7"/>
    <mergeCell ref="C5:C7"/>
    <mergeCell ref="Y5:Y7"/>
    <mergeCell ref="H6:H7"/>
    <mergeCell ref="L6:L7"/>
    <mergeCell ref="M6:M7"/>
    <mergeCell ref="O6:O7"/>
    <mergeCell ref="P6:P7"/>
    <mergeCell ref="E5:E7"/>
    <mergeCell ref="I6:K6"/>
    <mergeCell ref="H5:V5"/>
  </mergeCells>
  <printOptions horizontalCentered="1" verticalCentered="1"/>
  <pageMargins left="0.25" right="0.25" top="0.25" bottom="0.25" header="0.05" footer="0.05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Plotesuar</vt:lpstr>
      <vt:lpstr>Plotesuar!OLE_LINK3</vt:lpstr>
      <vt:lpstr>Plotesuar!Print_Area</vt:lpstr>
      <vt:lpstr>Plotesuar!Print_Titles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elidona.durmishi</dc:creator>
  <cp:lastModifiedBy>Xhoana Agolli</cp:lastModifiedBy>
  <cp:lastPrinted>2022-07-31T23:27:26Z</cp:lastPrinted>
  <dcterms:created xsi:type="dcterms:W3CDTF">2019-10-14T09:25:26Z</dcterms:created>
  <dcterms:modified xsi:type="dcterms:W3CDTF">2022-12-01T18:37:42Z</dcterms:modified>
</cp:coreProperties>
</file>